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clayton\Resonance\Commercial - OpenLMIS\3 - Deliverables\2019.11.22 - Final Deliverables\Business Model Development\"/>
    </mc:Choice>
  </mc:AlternateContent>
  <xr:revisionPtr revIDLastSave="5" documentId="13_ncr:1_{85972C5F-4A79-F24B-9F1A-4E57B7C19809}" xr6:coauthVersionLast="45" xr6:coauthVersionMax="45" xr10:uidLastSave="{5AB17EF9-6B49-4398-931D-7F661F063083}"/>
  <bookViews>
    <workbookView xWindow="-120" yWindow="-120" windowWidth="29040" windowHeight="15840" xr2:uid="{628D40EE-25D6-524B-B11C-608132F220DC}"/>
  </bookViews>
  <sheets>
    <sheet name="Total Costs" sheetId="10" r:id="rId1"/>
    <sheet name="Total Software Costs" sheetId="8" r:id="rId2"/>
    <sheet name="Software Roles" sheetId="4" r:id="rId3"/>
    <sheet name="Subscriptions" sheetId="6" r:id="rId4"/>
    <sheet name="Public Health" sheetId="7" r:id="rId5"/>
    <sheet name="Operations" sheetId="9"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6" i="9" l="1"/>
  <c r="C10" i="4" l="1"/>
  <c r="B34" i="9" l="1"/>
  <c r="F34" i="9" s="1"/>
  <c r="B33" i="9"/>
  <c r="E33" i="9" s="1"/>
  <c r="B32" i="9"/>
  <c r="B24" i="9"/>
  <c r="B42" i="9"/>
  <c r="E34" i="9" l="1"/>
  <c r="G34" i="9" s="1"/>
  <c r="F33" i="9"/>
  <c r="G33" i="9" s="1"/>
  <c r="B12" i="4"/>
  <c r="B10" i="4"/>
  <c r="F13" i="7" l="1"/>
  <c r="F11" i="7"/>
  <c r="F12" i="7"/>
  <c r="F10" i="7"/>
  <c r="F9" i="7" s="1"/>
  <c r="F8" i="7"/>
  <c r="F5" i="7"/>
  <c r="F6" i="7"/>
  <c r="F7" i="7"/>
  <c r="F4" i="7"/>
  <c r="F42" i="9"/>
  <c r="F45" i="9" s="1"/>
  <c r="C6" i="9" s="1"/>
  <c r="C8" i="10" s="1"/>
  <c r="K8" i="10" s="1"/>
  <c r="E42" i="9"/>
  <c r="F32" i="9"/>
  <c r="F37" i="9" s="1"/>
  <c r="C5" i="9" s="1"/>
  <c r="C7" i="10" s="1"/>
  <c r="K7" i="10" s="1"/>
  <c r="E32" i="9"/>
  <c r="E36" i="9" s="1"/>
  <c r="B5" i="9" s="1"/>
  <c r="B7" i="10" s="1"/>
  <c r="I7" i="10" s="1"/>
  <c r="F24" i="9"/>
  <c r="F27" i="9" s="1"/>
  <c r="C4" i="9" s="1"/>
  <c r="C6" i="10" s="1"/>
  <c r="K6" i="10" s="1"/>
  <c r="E24" i="9"/>
  <c r="E26" i="9" s="1"/>
  <c r="B4" i="9" s="1"/>
  <c r="F13" i="9"/>
  <c r="E13" i="9"/>
  <c r="E12" i="9"/>
  <c r="F12" i="9"/>
  <c r="E18" i="9" l="1"/>
  <c r="F19" i="9"/>
  <c r="C3" i="9" s="1"/>
  <c r="C5" i="10" s="1"/>
  <c r="G12" i="9"/>
  <c r="G42" i="9"/>
  <c r="G46" i="9" s="1"/>
  <c r="D4" i="9"/>
  <c r="B6" i="10"/>
  <c r="I6" i="10" s="1"/>
  <c r="L6" i="10" s="1"/>
  <c r="G24" i="9"/>
  <c r="G28" i="9" s="1"/>
  <c r="E44" i="9"/>
  <c r="B6" i="9" s="1"/>
  <c r="F3" i="7"/>
  <c r="F19" i="7" s="1"/>
  <c r="L7" i="10"/>
  <c r="D7" i="10"/>
  <c r="D5" i="9"/>
  <c r="G32" i="9"/>
  <c r="G38" i="9" s="1"/>
  <c r="G13" i="9"/>
  <c r="G15" i="9"/>
  <c r="E20" i="8"/>
  <c r="H20" i="8" s="1"/>
  <c r="E21" i="8"/>
  <c r="H21" i="8" s="1"/>
  <c r="G20" i="9" l="1"/>
  <c r="K5" i="10"/>
  <c r="D6" i="10"/>
  <c r="D6" i="9"/>
  <c r="B8" i="10"/>
  <c r="C7" i="9"/>
  <c r="C4" i="10"/>
  <c r="K4" i="10" s="1"/>
  <c r="B4" i="10"/>
  <c r="B3" i="9"/>
  <c r="G21" i="8"/>
  <c r="F20" i="8"/>
  <c r="F21" i="8"/>
  <c r="G20" i="8"/>
  <c r="B11" i="4"/>
  <c r="B9" i="4"/>
  <c r="B8" i="4"/>
  <c r="B7" i="4"/>
  <c r="B6" i="4"/>
  <c r="B5" i="4"/>
  <c r="B4" i="4"/>
  <c r="B3" i="4"/>
  <c r="I8" i="10" l="1"/>
  <c r="L8" i="10" s="1"/>
  <c r="D8" i="10"/>
  <c r="D3" i="9"/>
  <c r="D7" i="9" s="1"/>
  <c r="B5" i="10"/>
  <c r="B7" i="9"/>
  <c r="D4" i="10"/>
  <c r="I4" i="10"/>
  <c r="L4" i="10" s="1"/>
  <c r="E13" i="8"/>
  <c r="E5" i="8"/>
  <c r="E8" i="8"/>
  <c r="E4" i="8"/>
  <c r="E7" i="8"/>
  <c r="E6" i="8"/>
  <c r="E19" i="8"/>
  <c r="E9" i="8"/>
  <c r="E10" i="8"/>
  <c r="E14" i="8"/>
  <c r="E11" i="8"/>
  <c r="E17" i="8"/>
  <c r="E15" i="8"/>
  <c r="E16" i="8"/>
  <c r="E12" i="8"/>
  <c r="E18" i="8"/>
  <c r="C9" i="4"/>
  <c r="C4" i="4"/>
  <c r="C3" i="4"/>
  <c r="I5" i="10" l="1"/>
  <c r="L5" i="10" s="1"/>
  <c r="D5" i="10"/>
  <c r="H14" i="8"/>
  <c r="G14" i="8"/>
  <c r="F14" i="8"/>
  <c r="H4" i="8"/>
  <c r="F4" i="8"/>
  <c r="G4" i="8"/>
  <c r="H17" i="8"/>
  <c r="F17" i="8"/>
  <c r="G17" i="8"/>
  <c r="H8" i="8"/>
  <c r="G8" i="8"/>
  <c r="F8" i="8"/>
  <c r="H12" i="8"/>
  <c r="G12" i="8"/>
  <c r="F12" i="8"/>
  <c r="H16" i="8"/>
  <c r="F16" i="8"/>
  <c r="G16" i="8"/>
  <c r="H11" i="8"/>
  <c r="G11" i="8"/>
  <c r="F11" i="8"/>
  <c r="H19" i="8"/>
  <c r="G19" i="8"/>
  <c r="F19" i="8"/>
  <c r="H7" i="8"/>
  <c r="F7" i="8"/>
  <c r="G7" i="8"/>
  <c r="H18" i="8"/>
  <c r="G18" i="8"/>
  <c r="F18" i="8"/>
  <c r="H6" i="8"/>
  <c r="G6" i="8"/>
  <c r="F6" i="8"/>
  <c r="H9" i="8"/>
  <c r="F9" i="8"/>
  <c r="G9" i="8"/>
  <c r="H5" i="8"/>
  <c r="G5" i="8"/>
  <c r="F5" i="8"/>
  <c r="H15" i="8"/>
  <c r="G15" i="8"/>
  <c r="F15" i="8"/>
  <c r="H10" i="8"/>
  <c r="G10" i="8"/>
  <c r="F10" i="8"/>
  <c r="H13" i="8"/>
  <c r="G13" i="8"/>
  <c r="F13" i="8"/>
  <c r="F23" i="8" l="1"/>
  <c r="B3" i="10" s="1"/>
  <c r="B9" i="10" s="1"/>
  <c r="G24" i="8"/>
  <c r="C3" i="10" s="1"/>
  <c r="C9" i="10" s="1"/>
  <c r="K9" i="10" s="1"/>
  <c r="H25" i="8"/>
  <c r="I9" i="10" l="1"/>
  <c r="L9" i="10" s="1"/>
  <c r="D9" i="10"/>
  <c r="K3" i="10"/>
  <c r="K11" i="10" s="1"/>
  <c r="C11" i="10"/>
  <c r="D3" i="10"/>
  <c r="I3" i="10"/>
  <c r="B11" i="10"/>
  <c r="D11" i="10" l="1"/>
  <c r="L3" i="10"/>
  <c r="L11" i="10" s="1"/>
  <c r="I11" i="10"/>
</calcChain>
</file>

<file path=xl/sharedStrings.xml><?xml version="1.0" encoding="utf-8"?>
<sst xmlns="http://schemas.openxmlformats.org/spreadsheetml/2006/main" count="257" uniqueCount="184">
  <si>
    <t>Year 1</t>
  </si>
  <si>
    <t>Year 2</t>
  </si>
  <si>
    <t>Total</t>
  </si>
  <si>
    <t>Kenya</t>
  </si>
  <si>
    <t>US</t>
  </si>
  <si>
    <t>Cost</t>
  </si>
  <si>
    <t>UI/UX</t>
  </si>
  <si>
    <t>Architect</t>
  </si>
  <si>
    <t>Subtotal</t>
  </si>
  <si>
    <t>Total Costs for OpenLMIS.Org</t>
  </si>
  <si>
    <t>Total Costs for IQVIA Handover</t>
  </si>
  <si>
    <t>Assumptions</t>
  </si>
  <si>
    <t>Function</t>
  </si>
  <si>
    <t>% of .Org Estimate</t>
  </si>
  <si>
    <t>Private Health Software Development &amp; Maintenance</t>
  </si>
  <si>
    <t>Public Health (Modified) Maintenance</t>
  </si>
  <si>
    <t>Legal</t>
  </si>
  <si>
    <t>Sales</t>
  </si>
  <si>
    <t>Marketing &amp; Community Management</t>
  </si>
  <si>
    <t>Finance</t>
  </si>
  <si>
    <t>Overhead</t>
  </si>
  <si>
    <t>Total Software Costs</t>
  </si>
  <si>
    <t># of Months</t>
  </si>
  <si>
    <t>Role/Function</t>
  </si>
  <si>
    <t>% Allocation</t>
  </si>
  <si>
    <t>Monthly Rate</t>
  </si>
  <si>
    <t>Year 1 Subtotal</t>
  </si>
  <si>
    <t>Year 2 Subtotal</t>
  </si>
  <si>
    <t>Total Per Role</t>
  </si>
  <si>
    <t>Worth noting:</t>
  </si>
  <si>
    <t>Developer 1</t>
  </si>
  <si>
    <t>Start w/ devs with more experience, learn what skills you need</t>
  </si>
  <si>
    <t>Developer 2</t>
  </si>
  <si>
    <t>Developer 3</t>
  </si>
  <si>
    <t>Devs want to build a team, rate inc. for consultants</t>
  </si>
  <si>
    <t>Developer 4</t>
  </si>
  <si>
    <t>Cost vs. time vs. scope (fudge factor)</t>
  </si>
  <si>
    <t>Developer 5</t>
  </si>
  <si>
    <t>Decide as a community what's most important</t>
  </si>
  <si>
    <t>Senior Developer 1</t>
  </si>
  <si>
    <t>Can take a long time to find people</t>
  </si>
  <si>
    <t>Senior Developer 2</t>
  </si>
  <si>
    <t xml:space="preserve">Lead Senior Developer </t>
  </si>
  <si>
    <t>UI/UX (part time)</t>
  </si>
  <si>
    <t>DB Specialist (part time)</t>
  </si>
  <si>
    <t>Team knows the product</t>
  </si>
  <si>
    <t>Architect (part time)</t>
  </si>
  <si>
    <t>QA 1</t>
  </si>
  <si>
    <t>QA 2 (part time)</t>
  </si>
  <si>
    <t>QA 3 (part time)</t>
  </si>
  <si>
    <t>Product Owner / SCM</t>
  </si>
  <si>
    <t>SLA / Support / HelpDesk</t>
  </si>
  <si>
    <t>Transitional Support</t>
  </si>
  <si>
    <t>Subscriptions &amp; Hosting</t>
  </si>
  <si>
    <t>TOTAL FOR 24 MONTHS</t>
  </si>
  <si>
    <t>Note: Assumes 10 months of development and 14 months of maintenance.</t>
  </si>
  <si>
    <t>Monthly Compensation Estimates by Role</t>
  </si>
  <si>
    <t>For reference only (not used in calculation):</t>
  </si>
  <si>
    <t>Role</t>
  </si>
  <si>
    <t>Compensation</t>
  </si>
  <si>
    <t>SolDevelo</t>
  </si>
  <si>
    <t>Jembi</t>
  </si>
  <si>
    <t>ThoughtWorks</t>
  </si>
  <si>
    <t>Rationale for quote</t>
  </si>
  <si>
    <t>Developer</t>
  </si>
  <si>
    <t>Decided to use Kenya-based figures</t>
  </si>
  <si>
    <t>Senior Developer</t>
  </si>
  <si>
    <t>Same as senior developer</t>
  </si>
  <si>
    <t>DB Specialist</t>
  </si>
  <si>
    <t>QA</t>
  </si>
  <si>
    <t>Product Owner / SCM*</t>
  </si>
  <si>
    <t>Same as developer</t>
  </si>
  <si>
    <t>Transitional Support (US)*</t>
  </si>
  <si>
    <t>Notes:</t>
  </si>
  <si>
    <t>Compensation (unless otherwise noted) is based on hiring employees by a Kenya-based organization in Kenya.</t>
  </si>
  <si>
    <t>Rates include benefits, PTO, salary, housing allowance (standard for Kenya), and taxes for national health insurance. Does not include HR, accountant, book keeping, prof dev, recruitment, office space.</t>
  </si>
  <si>
    <t>*Included US rates plus a 5% increase.</t>
  </si>
  <si>
    <t>Total per month:</t>
  </si>
  <si>
    <t>Goal is to put together subscription type costs per month, emphasis on the side of we might need it, with the perspective that closed source development means some people/development can't use the free tools that we get as a non-profit/opensource org/project.</t>
  </si>
  <si>
    <t>Subscriptions</t>
  </si>
  <si>
    <t>Unit per month</t>
  </si>
  <si>
    <t>by X per Month</t>
  </si>
  <si>
    <t>Opt in (0-no,1-yes)</t>
  </si>
  <si>
    <t>Per month</t>
  </si>
  <si>
    <t>Notes</t>
  </si>
  <si>
    <t>PM + CI + SCM+Code Review</t>
  </si>
  <si>
    <t>Central Log Mgmt</t>
  </si>
  <si>
    <t>By environment (test, functional/performance, staging, demo, prod). Scalyr</t>
  </si>
  <si>
    <t>APM</t>
  </si>
  <si>
    <t>By environment (test, functional/performance, staging, demo, prod). NewRelic</t>
  </si>
  <si>
    <t>Cloud hosting</t>
  </si>
  <si>
    <t>By environment (test, functional/performance, staging, demo, prod). AWS.</t>
  </si>
  <si>
    <t>IDE</t>
  </si>
  <si>
    <t>Computers</t>
  </si>
  <si>
    <t>$2500 / 24 months (not needed if personnel outsourced)</t>
  </si>
  <si>
    <t>Test Data Generator</t>
  </si>
  <si>
    <t>Mockaroo</t>
  </si>
  <si>
    <t>Test Mgmt</t>
  </si>
  <si>
    <t>By user (X). EasyQA.com</t>
  </si>
  <si>
    <t>Diagraming</t>
  </si>
  <si>
    <t>By user (X). LucidChart. 5 for leads</t>
  </si>
  <si>
    <t>Mockups</t>
  </si>
  <si>
    <t>By user (X). Axure. 2, one for UI and one for collaborator.</t>
  </si>
  <si>
    <t>Team communication</t>
  </si>
  <si>
    <t>By user (X). Slack. May not need.</t>
  </si>
  <si>
    <t>Code Analysis</t>
  </si>
  <si>
    <t>By code-base (&lt;100k LOC in closed source). SonarQube</t>
  </si>
  <si>
    <t>Mobile testing</t>
  </si>
  <si>
    <t>Mobile testing (2 parallel tests). BrowserStack. (only needed if developing mobile app - android/ios)</t>
  </si>
  <si>
    <t>Asset Repository</t>
  </si>
  <si>
    <t>Docker Hub small</t>
  </si>
  <si>
    <t>Note: In Kenya, would maybe move to some of these to local.</t>
  </si>
  <si>
    <t>Could make this cheaper by going with cheaper alternatives, bulk discounts, or hosting some of these things ourselves. Trade off would be in other areas.</t>
  </si>
  <si>
    <t>Some of these would ramp up over time.</t>
  </si>
  <si>
    <t>OpenLMIS Public Heath Maintenance</t>
  </si>
  <si>
    <t>Component</t>
  </si>
  <si>
    <t>Quantity</t>
  </si>
  <si>
    <t>Annual Rate</t>
  </si>
  <si>
    <t>% for Future</t>
  </si>
  <si>
    <t>Steward Roles</t>
  </si>
  <si>
    <t>Include salaries and benefits.</t>
  </si>
  <si>
    <t>Director</t>
  </si>
  <si>
    <t>Technical Product Manager</t>
  </si>
  <si>
    <t>Software Development</t>
  </si>
  <si>
    <t>To do ongoing improvements/bug fixes, 3-4 releases/year.</t>
  </si>
  <si>
    <t>Travel &amp; Events</t>
  </si>
  <si>
    <t>Annual Community Meeting</t>
  </si>
  <si>
    <t>Conference Attendance</t>
  </si>
  <si>
    <t>Sponsor Study Tours</t>
  </si>
  <si>
    <t>Could be negotiable, hard to say if it's a good marketing tool.</t>
  </si>
  <si>
    <t>Other Costs</t>
  </si>
  <si>
    <t>Web Hosting</t>
  </si>
  <si>
    <t>Software, workstations</t>
  </si>
  <si>
    <t>Supplies</t>
  </si>
  <si>
    <t>Notes on areas that could be reduced from current run rate:</t>
  </si>
  <si>
    <t>Reduce other roles somewhat, product manager side (more private health)</t>
  </si>
  <si>
    <t>Product manager and architect could be hybrid roles across private/public and have oversight</t>
  </si>
  <si>
    <t>Beneficial to have overlap between core and private</t>
  </si>
  <si>
    <t>After a couple of years, the two are integrated with different customers</t>
  </si>
  <si>
    <t>Total Operational Costs</t>
  </si>
  <si>
    <t>Year 1 Total</t>
  </si>
  <si>
    <t>Year 2 Total</t>
  </si>
  <si>
    <t>Breakdown of Operational Costs by Function:</t>
  </si>
  <si>
    <t>Hourly Rate</t>
  </si>
  <si>
    <t># of Hours in Year 1</t>
  </si>
  <si>
    <t># of Hours in Year 2</t>
  </si>
  <si>
    <t>Year 1 Cost</t>
  </si>
  <si>
    <t>Year 2 Cost</t>
  </si>
  <si>
    <t>Total Cost by Function</t>
  </si>
  <si>
    <t>Attorney</t>
  </si>
  <si>
    <t>Legal Assistant</t>
  </si>
  <si>
    <t>Based on Jeff Tennenbaum's legal assistant's hourly rate for non-profit work.</t>
  </si>
  <si>
    <t>Estimates are on the high end of Jeff's estimate for filing and fees, see below.</t>
  </si>
  <si>
    <t>US Filing</t>
  </si>
  <si>
    <t>Kenya Filing &amp; Local Support</t>
  </si>
  <si>
    <t>Total Legal Costs</t>
  </si>
  <si>
    <t>Annual Salary</t>
  </si>
  <si>
    <t>Year 1 % Allocation</t>
  </si>
  <si>
    <t>Year 2 % Allocation</t>
  </si>
  <si>
    <t>Salesperson 1</t>
  </si>
  <si>
    <t>Based on $1000/month estimate of Kenya-based sales staff.*</t>
  </si>
  <si>
    <t>Includes 15% for benefits.</t>
  </si>
  <si>
    <t>Total Sales Costs</t>
  </si>
  <si>
    <t>Year 1 Quantity</t>
  </si>
  <si>
    <t>Year 2 Quantity</t>
  </si>
  <si>
    <t>Manager</t>
  </si>
  <si>
    <t>Community Meeting</t>
  </si>
  <si>
    <t>Conferences</t>
  </si>
  <si>
    <t>Total Marketing Costs</t>
  </si>
  <si>
    <t>Finance Personnel 1</t>
  </si>
  <si>
    <t>Creates a pitch deck, impact investors, individual is US-based.</t>
  </si>
  <si>
    <t>Includes 15% benefits.</t>
  </si>
  <si>
    <t>Total Finance Costs</t>
  </si>
  <si>
    <t>*These values represent the higher end of LBKM Law’s estimate of firm fees and government filing fees for the type of nonprofit entity discussed at the June workshop. For year one, this estimate ranged from $10-15K in fees and costs for a reasonable but not overly extensive role in the groups development of a governance structure for the organization; or $15-20K for a larger role. This estimate also includes an estimated $5K for filing and local support in Kenya. An additional $25K has been estimated for the first year of operation post-setup.</t>
  </si>
  <si>
    <t>**http://www.salaryexplorer.com/salary-survey.php?loc=111&amp;loctype=1&amp;job=675&amp;jobtype=3</t>
  </si>
  <si>
    <t>US rate</t>
  </si>
  <si>
    <t>Architecture - push onto SolDevelo</t>
  </si>
  <si>
    <t>30K burn rate per month with SolDevelo</t>
  </si>
  <si>
    <t>Additional prod environments would need to be created for additional customers. This only assumes one prod environment.</t>
  </si>
  <si>
    <t>By User (X) per month. Gitlab.com, provides Project Management (Issues, epics, boards), Continuous Integration / Build server, Source Code Management, code review</t>
  </si>
  <si>
    <t>IntelliJ Ultimate (not needed for outsourced personnel)</t>
  </si>
  <si>
    <t>Consider risk and what donors are positioned for and interested in, different levers to pull in different scenarios</t>
  </si>
  <si>
    <t>Community Manager</t>
  </si>
  <si>
    <t>Based on Jeff Tenenbaum's hourly rate for non-profit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</si>
</sst>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_(&quot;$&quot;* #,##0_);_(&quot;$&quot;* \(#,##0\);_(&quot;$&quot;* &quot;-&quot;??_);_(@_)"/>
  </numFmts>
  <fonts count="10" x14ac:knownFonts="1">
    <font>
      <sz val="12"/>
      <color theme="1"/>
      <name val="Calibri"/>
      <family val="2"/>
      <scheme val="minor"/>
    </font>
    <font>
      <sz val="12"/>
      <color theme="1"/>
      <name val="Calibri"/>
      <family val="2"/>
      <scheme val="minor"/>
    </font>
    <font>
      <b/>
      <sz val="12"/>
      <color theme="1"/>
      <name val="Calibri"/>
      <family val="2"/>
      <scheme val="minor"/>
    </font>
    <font>
      <b/>
      <sz val="10"/>
      <color rgb="FF000000"/>
      <name val="Arial"/>
      <family val="2"/>
    </font>
    <font>
      <sz val="10"/>
      <color rgb="FF000000"/>
      <name val="Arial"/>
      <family val="2"/>
    </font>
    <font>
      <i/>
      <sz val="12"/>
      <color theme="1"/>
      <name val="Calibri"/>
      <family val="2"/>
      <scheme val="minor"/>
    </font>
    <font>
      <i/>
      <u/>
      <sz val="12"/>
      <color theme="1"/>
      <name val="Calibri"/>
      <family val="2"/>
      <scheme val="minor"/>
    </font>
    <font>
      <sz val="11"/>
      <color rgb="FF000000"/>
      <name val="Calibri"/>
      <family val="2"/>
      <scheme val="minor"/>
    </font>
    <font>
      <b/>
      <sz val="12"/>
      <color theme="0"/>
      <name val="Calibri"/>
      <family val="2"/>
      <scheme val="minor"/>
    </font>
    <font>
      <b/>
      <i/>
      <sz val="12"/>
      <color theme="1"/>
      <name val="Calibri"/>
      <family val="2"/>
      <scheme val="minor"/>
    </font>
  </fonts>
  <fills count="1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1"/>
        <bgColor indexed="64"/>
      </patternFill>
    </fill>
    <fill>
      <patternFill patternType="solid">
        <fgColor rgb="FF7030A0"/>
        <bgColor indexed="64"/>
      </patternFill>
    </fill>
    <fill>
      <patternFill patternType="solid">
        <fgColor theme="2" tint="-9.9978637043366805E-2"/>
        <bgColor indexed="64"/>
      </patternFill>
    </fill>
    <fill>
      <patternFill patternType="solid">
        <fgColor rgb="FFEAC7FF"/>
        <bgColor indexed="64"/>
      </patternFill>
    </fill>
    <fill>
      <patternFill patternType="solid">
        <fgColor rgb="FFD8C3FF"/>
        <bgColor indexed="64"/>
      </patternFill>
    </fill>
    <fill>
      <patternFill patternType="solid">
        <fgColor theme="9" tint="-0.249977111117893"/>
        <bgColor indexed="64"/>
      </patternFill>
    </fill>
    <fill>
      <patternFill patternType="solid">
        <fgColor theme="3"/>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164" fontId="0" fillId="0" borderId="0" xfId="1" applyNumberFormat="1" applyFont="1"/>
    <xf numFmtId="0" fontId="2" fillId="0" borderId="0" xfId="0" applyFont="1"/>
    <xf numFmtId="8" fontId="0" fillId="0" borderId="0" xfId="0" applyNumberFormat="1"/>
    <xf numFmtId="164" fontId="0" fillId="0" borderId="0" xfId="0" applyNumberFormat="1"/>
    <xf numFmtId="44" fontId="0" fillId="0" borderId="0" xfId="1" applyFont="1"/>
    <xf numFmtId="44" fontId="0" fillId="0" borderId="0" xfId="1" applyNumberFormat="1" applyFont="1"/>
    <xf numFmtId="0" fontId="0" fillId="0" borderId="0" xfId="1" applyNumberFormat="1" applyFont="1"/>
    <xf numFmtId="44" fontId="0" fillId="0" borderId="0" xfId="0" applyNumberFormat="1"/>
    <xf numFmtId="0" fontId="3" fillId="0" borderId="0" xfId="0" applyFont="1"/>
    <xf numFmtId="8" fontId="4" fillId="0" borderId="0" xfId="0" applyNumberFormat="1" applyFont="1"/>
    <xf numFmtId="0" fontId="4" fillId="0" borderId="0" xfId="0" applyFont="1"/>
    <xf numFmtId="0" fontId="4" fillId="3" borderId="0" xfId="0" applyFont="1" applyFill="1" applyAlignment="1">
      <alignment wrapText="1"/>
    </xf>
    <xf numFmtId="0" fontId="2" fillId="2" borderId="0" xfId="0" applyFont="1" applyFill="1"/>
    <xf numFmtId="0" fontId="2" fillId="3" borderId="0" xfId="0" applyFont="1" applyFill="1"/>
    <xf numFmtId="0" fontId="5" fillId="0" borderId="0" xfId="0" applyFont="1"/>
    <xf numFmtId="0" fontId="6" fillId="0" borderId="0" xfId="0" applyFont="1"/>
    <xf numFmtId="44" fontId="5" fillId="0" borderId="0" xfId="1" applyFont="1"/>
    <xf numFmtId="0" fontId="7" fillId="0" borderId="0" xfId="0" applyFont="1"/>
    <xf numFmtId="9" fontId="0" fillId="0" borderId="0" xfId="2" applyFont="1" applyAlignment="1">
      <alignment horizontal="center"/>
    </xf>
    <xf numFmtId="164" fontId="2" fillId="2" borderId="0" xfId="1" applyNumberFormat="1" applyFont="1" applyFill="1"/>
    <xf numFmtId="0" fontId="0" fillId="2" borderId="0" xfId="0" applyFill="1"/>
    <xf numFmtId="0" fontId="2" fillId="4" borderId="0" xfId="0" applyFont="1" applyFill="1"/>
    <xf numFmtId="164" fontId="2" fillId="4" borderId="0" xfId="0" applyNumberFormat="1" applyFont="1" applyFill="1"/>
    <xf numFmtId="0" fontId="8" fillId="6" borderId="0" xfId="0" applyFont="1" applyFill="1"/>
    <xf numFmtId="0" fontId="2" fillId="2" borderId="0" xfId="0" applyFont="1" applyFill="1" applyAlignment="1">
      <alignment horizontal="center"/>
    </xf>
    <xf numFmtId="0" fontId="2" fillId="2" borderId="0" xfId="0" applyFont="1" applyFill="1" applyAlignment="1">
      <alignment horizontal="center" vertical="center"/>
    </xf>
    <xf numFmtId="9" fontId="0" fillId="0" borderId="0" xfId="2" applyFont="1"/>
    <xf numFmtId="0" fontId="2" fillId="2" borderId="4" xfId="0" applyFont="1" applyFill="1" applyBorder="1"/>
    <xf numFmtId="0" fontId="2" fillId="2" borderId="0" xfId="0" applyFont="1" applyFill="1" applyBorder="1"/>
    <xf numFmtId="0" fontId="2" fillId="2" borderId="5" xfId="0" applyFont="1" applyFill="1" applyBorder="1"/>
    <xf numFmtId="0" fontId="0" fillId="0" borderId="4" xfId="0" applyBorder="1"/>
    <xf numFmtId="164" fontId="0" fillId="0" borderId="0" xfId="0" applyNumberFormat="1" applyBorder="1"/>
    <xf numFmtId="164" fontId="0" fillId="0" borderId="5" xfId="0" applyNumberFormat="1" applyBorder="1"/>
    <xf numFmtId="0" fontId="0" fillId="0" borderId="0" xfId="0" applyBorder="1"/>
    <xf numFmtId="0" fontId="2" fillId="4" borderId="6" xfId="0" applyFont="1" applyFill="1" applyBorder="1"/>
    <xf numFmtId="164" fontId="2" fillId="4" borderId="7" xfId="0" applyNumberFormat="1" applyFont="1" applyFill="1" applyBorder="1"/>
    <xf numFmtId="164" fontId="2" fillId="4" borderId="8" xfId="0" applyNumberFormat="1" applyFont="1" applyFill="1" applyBorder="1"/>
    <xf numFmtId="0" fontId="8" fillId="7" borderId="0" xfId="0" applyFont="1" applyFill="1"/>
    <xf numFmtId="164" fontId="2" fillId="2" borderId="0" xfId="1" applyNumberFormat="1" applyFont="1" applyFill="1" applyAlignment="1">
      <alignment horizontal="center"/>
    </xf>
    <xf numFmtId="0" fontId="2" fillId="8" borderId="0" xfId="0" applyFont="1" applyFill="1" applyAlignment="1">
      <alignment horizontal="center"/>
    </xf>
    <xf numFmtId="164" fontId="2" fillId="8" borderId="0" xfId="1" applyNumberFormat="1" applyFont="1" applyFill="1" applyAlignment="1">
      <alignment horizontal="center"/>
    </xf>
    <xf numFmtId="164" fontId="0" fillId="2" borderId="0" xfId="1" applyNumberFormat="1" applyFont="1" applyFill="1"/>
    <xf numFmtId="9" fontId="0" fillId="2" borderId="0" xfId="2" applyFont="1" applyFill="1" applyAlignment="1">
      <alignment horizontal="center"/>
    </xf>
    <xf numFmtId="0" fontId="2" fillId="13" borderId="0" xfId="0" applyFont="1" applyFill="1" applyAlignment="1">
      <alignment horizontal="center"/>
    </xf>
    <xf numFmtId="0" fontId="2" fillId="13" borderId="0" xfId="0" applyFont="1" applyFill="1" applyAlignment="1">
      <alignment horizontal="left"/>
    </xf>
    <xf numFmtId="0" fontId="2" fillId="13" borderId="0" xfId="0" applyFont="1" applyFill="1"/>
    <xf numFmtId="9" fontId="0" fillId="0" borderId="0" xfId="2" applyFont="1" applyFill="1" applyAlignment="1">
      <alignment horizontal="center"/>
    </xf>
    <xf numFmtId="0" fontId="0" fillId="0" borderId="0" xfId="0" applyFill="1"/>
    <xf numFmtId="44" fontId="0" fillId="0" borderId="0" xfId="1" applyNumberFormat="1" applyFont="1" applyFill="1"/>
    <xf numFmtId="164" fontId="0" fillId="0" borderId="0" xfId="1" applyNumberFormat="1" applyFont="1" applyFill="1"/>
    <xf numFmtId="164" fontId="0" fillId="0" borderId="0" xfId="0" applyNumberFormat="1" applyFill="1"/>
    <xf numFmtId="0" fontId="0" fillId="0" borderId="0" xfId="1" applyNumberFormat="1" applyFont="1" applyFill="1"/>
    <xf numFmtId="0" fontId="0" fillId="0" borderId="4" xfId="0" applyBorder="1" applyAlignment="1">
      <alignment wrapText="1"/>
    </xf>
    <xf numFmtId="0" fontId="0" fillId="0" borderId="4" xfId="0" applyFill="1" applyBorder="1"/>
    <xf numFmtId="0" fontId="5" fillId="0" borderId="0" xfId="0" applyFont="1" applyFill="1"/>
    <xf numFmtId="44" fontId="2" fillId="4" borderId="0" xfId="1" applyFont="1" applyFill="1" applyAlignment="1">
      <alignment horizontal="center"/>
    </xf>
    <xf numFmtId="44" fontId="2" fillId="15" borderId="0" xfId="1" applyNumberFormat="1" applyFont="1" applyFill="1" applyAlignment="1">
      <alignment horizontal="center"/>
    </xf>
    <xf numFmtId="164" fontId="2" fillId="15" borderId="0" xfId="1" applyNumberFormat="1" applyFont="1" applyFill="1" applyAlignment="1">
      <alignment horizontal="center"/>
    </xf>
    <xf numFmtId="164" fontId="2" fillId="15" borderId="0" xfId="0" applyNumberFormat="1" applyFont="1" applyFill="1" applyAlignment="1">
      <alignment horizontal="center"/>
    </xf>
    <xf numFmtId="0" fontId="2" fillId="15" borderId="0" xfId="0" applyFont="1" applyFill="1" applyAlignment="1">
      <alignment horizontal="center"/>
    </xf>
    <xf numFmtId="9" fontId="2" fillId="15" borderId="0" xfId="2" applyFont="1" applyFill="1" applyAlignment="1"/>
    <xf numFmtId="44" fontId="0" fillId="12" borderId="0" xfId="1" applyNumberFormat="1" applyFont="1" applyFill="1"/>
    <xf numFmtId="164" fontId="0" fillId="12" borderId="0" xfId="1" applyNumberFormat="1" applyFont="1" applyFill="1"/>
    <xf numFmtId="164" fontId="0" fillId="12" borderId="0" xfId="0" applyNumberFormat="1" applyFill="1"/>
    <xf numFmtId="9" fontId="2" fillId="12" borderId="0" xfId="2" applyFont="1" applyFill="1" applyAlignment="1"/>
    <xf numFmtId="0" fontId="8" fillId="12" borderId="0" xfId="0" applyFont="1" applyFill="1" applyAlignment="1"/>
    <xf numFmtId="0" fontId="0" fillId="0" borderId="0" xfId="0" applyFill="1" applyAlignment="1">
      <alignment vertical="top" wrapText="1"/>
    </xf>
    <xf numFmtId="0" fontId="2" fillId="5" borderId="1" xfId="0" applyFont="1" applyFill="1" applyBorder="1"/>
    <xf numFmtId="0" fontId="2" fillId="5" borderId="2" xfId="0" applyFont="1" applyFill="1" applyBorder="1"/>
    <xf numFmtId="0" fontId="2" fillId="5" borderId="3" xfId="0" applyFont="1" applyFill="1" applyBorder="1"/>
    <xf numFmtId="1" fontId="0" fillId="0" borderId="0" xfId="1" applyNumberFormat="1" applyFont="1"/>
    <xf numFmtId="0" fontId="9" fillId="10" borderId="0" xfId="0" applyFont="1" applyFill="1" applyAlignment="1">
      <alignment horizontal="center"/>
    </xf>
    <xf numFmtId="164" fontId="9" fillId="9" borderId="0" xfId="1" applyNumberFormat="1" applyFont="1" applyFill="1" applyAlignment="1">
      <alignment horizontal="center"/>
    </xf>
    <xf numFmtId="164" fontId="2" fillId="8" borderId="0" xfId="1" applyNumberFormat="1" applyFont="1" applyFill="1" applyAlignment="1">
      <alignment horizontal="center" vertical="center"/>
    </xf>
    <xf numFmtId="164" fontId="2" fillId="2" borderId="0" xfId="1" applyNumberFormat="1" applyFont="1" applyFill="1" applyAlignment="1">
      <alignment horizontal="left" vertical="center"/>
    </xf>
    <xf numFmtId="0" fontId="8" fillId="11" borderId="0" xfId="0" applyFont="1" applyFill="1" applyAlignment="1">
      <alignment horizontal="left"/>
    </xf>
    <xf numFmtId="0" fontId="5" fillId="15" borderId="0" xfId="0" applyFont="1" applyFill="1" applyAlignment="1">
      <alignment horizontal="center"/>
    </xf>
    <xf numFmtId="0" fontId="8" fillId="12" borderId="0" xfId="0" applyFont="1" applyFill="1" applyAlignment="1">
      <alignment horizontal="left" vertical="center"/>
    </xf>
    <xf numFmtId="0" fontId="5" fillId="14" borderId="0" xfId="0" applyFont="1" applyFill="1" applyAlignment="1">
      <alignment horizontal="center"/>
    </xf>
    <xf numFmtId="0" fontId="8" fillId="12" borderId="0" xfId="0" applyFont="1" applyFill="1" applyAlignment="1">
      <alignment horizontal="center"/>
    </xf>
    <xf numFmtId="0" fontId="8" fillId="12" borderId="0" xfId="0" applyFont="1" applyFill="1" applyAlignment="1">
      <alignment horizontal="left"/>
    </xf>
    <xf numFmtId="0" fontId="2" fillId="5" borderId="0" xfId="0" applyFont="1" applyFill="1" applyAlignment="1">
      <alignment horizontal="left"/>
    </xf>
    <xf numFmtId="0" fontId="5" fillId="0" borderId="0" xfId="0" applyFont="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D8C3FF"/>
      <color rgb="FFEAC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BB45C-5E6E-AA48-921B-60CDE4059371}">
  <sheetPr>
    <tabColor rgb="FF7030A0"/>
  </sheetPr>
  <dimension ref="A1:M16"/>
  <sheetViews>
    <sheetView tabSelected="1" zoomScale="90" zoomScaleNormal="90" workbookViewId="0">
      <selection sqref="A1:D1"/>
    </sheetView>
  </sheetViews>
  <sheetFormatPr defaultColWidth="11" defaultRowHeight="15.6" x14ac:dyDescent="0.3"/>
  <cols>
    <col min="1" max="1" width="46.69921875" bestFit="1" customWidth="1"/>
    <col min="2" max="2" width="13.296875" style="1" customWidth="1"/>
    <col min="3" max="3" width="12" style="1" customWidth="1"/>
    <col min="4" max="4" width="12.5" style="1" bestFit="1" customWidth="1"/>
    <col min="6" max="6" width="2.5" customWidth="1"/>
    <col min="7" max="7" width="46.69921875" bestFit="1" customWidth="1"/>
    <col min="8" max="8" width="23.19921875" bestFit="1" customWidth="1"/>
    <col min="9" max="9" width="12.296875" bestFit="1" customWidth="1"/>
    <col min="10" max="10" width="23.19921875" bestFit="1" customWidth="1"/>
    <col min="11" max="11" width="12.296875" bestFit="1" customWidth="1"/>
    <col min="12" max="12" width="14.296875" customWidth="1"/>
    <col min="13" max="13" width="68.796875" customWidth="1"/>
  </cols>
  <sheetData>
    <row r="1" spans="1:13" x14ac:dyDescent="0.3">
      <c r="A1" s="76" t="s">
        <v>9</v>
      </c>
      <c r="B1" s="76"/>
      <c r="C1" s="76"/>
      <c r="D1" s="76"/>
      <c r="G1" s="38" t="s">
        <v>10</v>
      </c>
      <c r="H1" s="72" t="s">
        <v>0</v>
      </c>
      <c r="I1" s="72"/>
      <c r="J1" s="73" t="s">
        <v>1</v>
      </c>
      <c r="K1" s="73"/>
      <c r="L1" s="74" t="s">
        <v>2</v>
      </c>
      <c r="M1" s="75" t="s">
        <v>11</v>
      </c>
    </row>
    <row r="2" spans="1:13" x14ac:dyDescent="0.3">
      <c r="A2" s="13" t="s">
        <v>12</v>
      </c>
      <c r="B2" s="20" t="s">
        <v>0</v>
      </c>
      <c r="C2" s="20" t="s">
        <v>1</v>
      </c>
      <c r="D2" s="20" t="s">
        <v>2</v>
      </c>
      <c r="G2" s="13" t="s">
        <v>12</v>
      </c>
      <c r="H2" s="40" t="s">
        <v>13</v>
      </c>
      <c r="I2" s="41" t="s">
        <v>5</v>
      </c>
      <c r="J2" s="25" t="s">
        <v>13</v>
      </c>
      <c r="K2" s="39" t="s">
        <v>5</v>
      </c>
      <c r="L2" s="74"/>
      <c r="M2" s="75"/>
    </row>
    <row r="3" spans="1:13" x14ac:dyDescent="0.3">
      <c r="A3" t="s">
        <v>14</v>
      </c>
      <c r="B3" s="1">
        <f>'Total Software Costs'!F23</f>
        <v>670450.1</v>
      </c>
      <c r="C3" s="1">
        <f>'Total Software Costs'!G24</f>
        <v>536883.6</v>
      </c>
      <c r="D3" s="1">
        <f>SUM(B3:C3)</f>
        <v>1207333.7</v>
      </c>
      <c r="G3" t="s">
        <v>14</v>
      </c>
      <c r="H3" s="19">
        <v>1</v>
      </c>
      <c r="I3" s="1">
        <f>B3*H3</f>
        <v>670450.1</v>
      </c>
      <c r="J3" s="19">
        <v>1</v>
      </c>
      <c r="K3" s="1">
        <f>C3*J3</f>
        <v>536883.6</v>
      </c>
      <c r="L3" s="1">
        <f>I3+K3</f>
        <v>1207333.7</v>
      </c>
    </row>
    <row r="4" spans="1:13" x14ac:dyDescent="0.3">
      <c r="A4" t="s">
        <v>15</v>
      </c>
      <c r="B4" s="1">
        <f>'Public Health'!F19</f>
        <v>461000</v>
      </c>
      <c r="C4" s="1">
        <f>'Public Health'!F19</f>
        <v>461000</v>
      </c>
      <c r="D4" s="1">
        <f t="shared" ref="D4:D9" si="0">SUM(B4:C4)</f>
        <v>922000</v>
      </c>
      <c r="G4" t="s">
        <v>15</v>
      </c>
      <c r="H4" s="19">
        <v>1</v>
      </c>
      <c r="I4" s="1">
        <f>B4*H4</f>
        <v>461000</v>
      </c>
      <c r="J4" s="19">
        <v>1</v>
      </c>
      <c r="K4" s="1">
        <f t="shared" ref="K4:K9" si="1">C4*J4</f>
        <v>461000</v>
      </c>
      <c r="L4" s="1">
        <f t="shared" ref="L4:L9" si="2">I4+K4</f>
        <v>922000</v>
      </c>
    </row>
    <row r="5" spans="1:13" x14ac:dyDescent="0.3">
      <c r="A5" s="31" t="s">
        <v>16</v>
      </c>
      <c r="B5" s="1">
        <f>Operations!B3</f>
        <v>24999.554</v>
      </c>
      <c r="C5" s="1">
        <f>Operations!C3</f>
        <v>25004</v>
      </c>
      <c r="D5" s="1">
        <f t="shared" si="0"/>
        <v>50003.554000000004</v>
      </c>
      <c r="F5" s="34"/>
      <c r="G5" s="34" t="s">
        <v>16</v>
      </c>
      <c r="H5" s="19">
        <v>1</v>
      </c>
      <c r="I5" s="1">
        <f t="shared" ref="I5:I9" si="3">B5*H5</f>
        <v>24999.554</v>
      </c>
      <c r="J5" s="19">
        <v>1</v>
      </c>
      <c r="K5" s="1">
        <f t="shared" si="1"/>
        <v>25004</v>
      </c>
      <c r="L5" s="1">
        <f t="shared" si="2"/>
        <v>50003.554000000004</v>
      </c>
    </row>
    <row r="6" spans="1:13" x14ac:dyDescent="0.3">
      <c r="A6" s="31" t="s">
        <v>17</v>
      </c>
      <c r="B6" s="1">
        <f>Operations!B4</f>
        <v>13800</v>
      </c>
      <c r="C6" s="1">
        <f>Operations!C4</f>
        <v>13800</v>
      </c>
      <c r="D6" s="1">
        <f t="shared" si="0"/>
        <v>27600</v>
      </c>
      <c r="F6" s="34"/>
      <c r="G6" s="34" t="s">
        <v>17</v>
      </c>
      <c r="H6" s="19">
        <v>0</v>
      </c>
      <c r="I6" s="1">
        <f t="shared" si="3"/>
        <v>0</v>
      </c>
      <c r="J6" s="47">
        <v>0</v>
      </c>
      <c r="K6" s="1">
        <f t="shared" si="1"/>
        <v>0</v>
      </c>
      <c r="L6" s="1">
        <f t="shared" si="2"/>
        <v>0</v>
      </c>
    </row>
    <row r="7" spans="1:13" x14ac:dyDescent="0.3">
      <c r="A7" s="31" t="s">
        <v>18</v>
      </c>
      <c r="B7" s="1">
        <f>Operations!B5</f>
        <v>140000</v>
      </c>
      <c r="C7" s="1">
        <f>Operations!C5</f>
        <v>140000</v>
      </c>
      <c r="D7" s="1">
        <f t="shared" si="0"/>
        <v>280000</v>
      </c>
      <c r="F7" s="34"/>
      <c r="G7" s="34" t="s">
        <v>18</v>
      </c>
      <c r="H7" s="19">
        <v>0</v>
      </c>
      <c r="I7" s="1">
        <f t="shared" si="3"/>
        <v>0</v>
      </c>
      <c r="J7" s="47">
        <v>0</v>
      </c>
      <c r="K7" s="1">
        <f t="shared" si="1"/>
        <v>0</v>
      </c>
      <c r="L7" s="1">
        <f t="shared" si="2"/>
        <v>0</v>
      </c>
    </row>
    <row r="8" spans="1:13" x14ac:dyDescent="0.3">
      <c r="A8" s="31" t="s">
        <v>19</v>
      </c>
      <c r="B8" s="1">
        <f>Operations!B6</f>
        <v>114999.99999999999</v>
      </c>
      <c r="C8" s="1">
        <f>Operations!C6</f>
        <v>114999.99999999999</v>
      </c>
      <c r="D8" s="1">
        <f t="shared" si="0"/>
        <v>229999.99999999997</v>
      </c>
      <c r="F8" s="34"/>
      <c r="G8" s="34" t="s">
        <v>19</v>
      </c>
      <c r="H8" s="19">
        <v>1</v>
      </c>
      <c r="I8" s="1">
        <f t="shared" si="3"/>
        <v>114999.99999999999</v>
      </c>
      <c r="J8" s="19">
        <v>1</v>
      </c>
      <c r="K8" s="1">
        <f t="shared" si="1"/>
        <v>114999.99999999999</v>
      </c>
      <c r="L8" s="1">
        <f t="shared" si="2"/>
        <v>229999.99999999997</v>
      </c>
    </row>
    <row r="9" spans="1:13" x14ac:dyDescent="0.3">
      <c r="A9" s="54" t="s">
        <v>20</v>
      </c>
      <c r="B9" s="1">
        <f>SUM(B3:B8)*0.15</f>
        <v>213787.44810000001</v>
      </c>
      <c r="C9" s="1">
        <f>SUM(C3:C8)*0.15</f>
        <v>193753.14</v>
      </c>
      <c r="D9" s="1">
        <f t="shared" si="0"/>
        <v>407540.58810000005</v>
      </c>
      <c r="F9" s="34"/>
      <c r="G9" s="34" t="s">
        <v>20</v>
      </c>
      <c r="H9" s="19">
        <v>0.5</v>
      </c>
      <c r="I9" s="1">
        <f t="shared" si="3"/>
        <v>106893.72405</v>
      </c>
      <c r="J9" s="19">
        <v>0.5</v>
      </c>
      <c r="K9" s="1">
        <f t="shared" si="1"/>
        <v>96876.57</v>
      </c>
      <c r="L9" s="1">
        <f t="shared" si="2"/>
        <v>203770.29405000003</v>
      </c>
    </row>
    <row r="10" spans="1:13" x14ac:dyDescent="0.3">
      <c r="I10" s="1"/>
      <c r="J10" s="1"/>
      <c r="K10" s="1"/>
      <c r="L10" s="1"/>
    </row>
    <row r="11" spans="1:13" x14ac:dyDescent="0.3">
      <c r="A11" t="s">
        <v>2</v>
      </c>
      <c r="B11" s="1">
        <f>SUM(B3:B9)</f>
        <v>1639037.1021</v>
      </c>
      <c r="C11" s="1">
        <f t="shared" ref="C11:D11" si="4">SUM(C3:C9)</f>
        <v>1485440.7400000002</v>
      </c>
      <c r="D11" s="1">
        <f t="shared" si="4"/>
        <v>3124477.8421</v>
      </c>
      <c r="G11" t="s">
        <v>2</v>
      </c>
      <c r="I11" s="1">
        <f>SUM(I3:I9)</f>
        <v>1378343.3780500002</v>
      </c>
      <c r="J11" s="1"/>
      <c r="K11" s="1">
        <f t="shared" ref="K11:L11" si="5">SUM(K3:K9)</f>
        <v>1234764.17</v>
      </c>
      <c r="L11" s="1">
        <f t="shared" si="5"/>
        <v>2613107.5480500003</v>
      </c>
    </row>
    <row r="15" spans="1:13" x14ac:dyDescent="0.3">
      <c r="A15" s="4"/>
    </row>
    <row r="16" spans="1:13" x14ac:dyDescent="0.3">
      <c r="A16" s="48"/>
    </row>
  </sheetData>
  <mergeCells count="5">
    <mergeCell ref="H1:I1"/>
    <mergeCell ref="J1:K1"/>
    <mergeCell ref="L1:L2"/>
    <mergeCell ref="M1:M2"/>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C0F3A-161C-FA41-855D-294780214AA5}">
  <sheetPr>
    <tabColor theme="9"/>
  </sheetPr>
  <dimension ref="A1:M27"/>
  <sheetViews>
    <sheetView zoomScale="90" zoomScaleNormal="90" workbookViewId="0">
      <selection sqref="A1:A2"/>
    </sheetView>
  </sheetViews>
  <sheetFormatPr defaultColWidth="11" defaultRowHeight="15.6" x14ac:dyDescent="0.3"/>
  <cols>
    <col min="1" max="1" width="41.296875" customWidth="1"/>
    <col min="2" max="2" width="11.296875" style="19" bestFit="1" customWidth="1"/>
    <col min="3" max="3" width="9.296875" customWidth="1"/>
    <col min="4" max="4" width="10.5" customWidth="1"/>
    <col min="5" max="5" width="13.796875" style="6" customWidth="1"/>
    <col min="6" max="6" width="14.69921875" style="1" customWidth="1"/>
    <col min="7" max="7" width="15.19921875" style="1" customWidth="1"/>
    <col min="8" max="8" width="15.69921875" style="4" customWidth="1"/>
    <col min="9" max="9" width="12.796875" bestFit="1" customWidth="1"/>
    <col min="12" max="12" width="2.19921875" customWidth="1"/>
  </cols>
  <sheetData>
    <row r="1" spans="1:13" x14ac:dyDescent="0.3">
      <c r="A1" s="78" t="s">
        <v>21</v>
      </c>
      <c r="B1" s="66"/>
      <c r="C1" s="66"/>
      <c r="D1" s="66"/>
      <c r="E1" s="66"/>
      <c r="F1" s="66"/>
      <c r="G1" s="66"/>
      <c r="H1" s="66"/>
    </row>
    <row r="2" spans="1:13" x14ac:dyDescent="0.3">
      <c r="A2" s="78"/>
      <c r="B2" s="65"/>
      <c r="C2" s="77" t="s">
        <v>22</v>
      </c>
      <c r="D2" s="77"/>
      <c r="E2" s="62"/>
      <c r="F2" s="63"/>
      <c r="G2" s="63"/>
      <c r="H2" s="64"/>
    </row>
    <row r="3" spans="1:13" x14ac:dyDescent="0.3">
      <c r="A3" s="60" t="s">
        <v>23</v>
      </c>
      <c r="B3" s="61" t="s">
        <v>24</v>
      </c>
      <c r="C3" s="25" t="s">
        <v>0</v>
      </c>
      <c r="D3" s="25" t="s">
        <v>1</v>
      </c>
      <c r="E3" s="57" t="s">
        <v>25</v>
      </c>
      <c r="F3" s="58" t="s">
        <v>26</v>
      </c>
      <c r="G3" s="58" t="s">
        <v>27</v>
      </c>
      <c r="H3" s="59" t="s">
        <v>28</v>
      </c>
      <c r="L3" t="s">
        <v>29</v>
      </c>
    </row>
    <row r="4" spans="1:13" x14ac:dyDescent="0.3">
      <c r="A4" t="s">
        <v>30</v>
      </c>
      <c r="B4" s="19">
        <v>1</v>
      </c>
      <c r="C4">
        <v>12</v>
      </c>
      <c r="D4">
        <v>12</v>
      </c>
      <c r="E4" s="6">
        <f>'Software Roles'!$B$3</f>
        <v>1500</v>
      </c>
      <c r="F4" s="1">
        <f>B4*C4*E4</f>
        <v>18000</v>
      </c>
      <c r="G4" s="1">
        <f>B4*D4*E4</f>
        <v>18000</v>
      </c>
      <c r="H4" s="4">
        <f>B4*(C4+D4)*E4</f>
        <v>36000</v>
      </c>
      <c r="M4" t="s">
        <v>31</v>
      </c>
    </row>
    <row r="5" spans="1:13" x14ac:dyDescent="0.3">
      <c r="A5" t="s">
        <v>32</v>
      </c>
      <c r="B5" s="19">
        <v>1</v>
      </c>
      <c r="C5">
        <v>12</v>
      </c>
      <c r="D5">
        <v>12</v>
      </c>
      <c r="E5" s="6">
        <f>'Software Roles'!$B$3</f>
        <v>1500</v>
      </c>
      <c r="F5" s="1">
        <f t="shared" ref="F5:F21" si="0">B5*C5*E5</f>
        <v>18000</v>
      </c>
      <c r="G5" s="1">
        <f t="shared" ref="G5:G21" si="1">B5*D5*E5</f>
        <v>18000</v>
      </c>
      <c r="H5" s="4">
        <f t="shared" ref="H5:H21" si="2">B5*(C5+D5)*E5</f>
        <v>36000</v>
      </c>
      <c r="M5" t="s">
        <v>177</v>
      </c>
    </row>
    <row r="6" spans="1:13" x14ac:dyDescent="0.3">
      <c r="A6" t="s">
        <v>33</v>
      </c>
      <c r="B6" s="19">
        <v>1</v>
      </c>
      <c r="C6">
        <v>12</v>
      </c>
      <c r="D6">
        <v>12</v>
      </c>
      <c r="E6" s="6">
        <f>'Software Roles'!$B$3</f>
        <v>1500</v>
      </c>
      <c r="F6" s="1">
        <f t="shared" si="0"/>
        <v>18000</v>
      </c>
      <c r="G6" s="1">
        <f t="shared" si="1"/>
        <v>18000</v>
      </c>
      <c r="H6" s="4">
        <f t="shared" si="2"/>
        <v>36000</v>
      </c>
      <c r="M6" t="s">
        <v>34</v>
      </c>
    </row>
    <row r="7" spans="1:13" x14ac:dyDescent="0.3">
      <c r="A7" t="s">
        <v>35</v>
      </c>
      <c r="B7" s="19">
        <v>1</v>
      </c>
      <c r="C7">
        <v>12</v>
      </c>
      <c r="D7">
        <v>12</v>
      </c>
      <c r="E7" s="6">
        <f>'Software Roles'!$B$3</f>
        <v>1500</v>
      </c>
      <c r="F7" s="1">
        <f t="shared" si="0"/>
        <v>18000</v>
      </c>
      <c r="G7" s="1">
        <f t="shared" si="1"/>
        <v>18000</v>
      </c>
      <c r="H7" s="4">
        <f t="shared" si="2"/>
        <v>36000</v>
      </c>
      <c r="M7" t="s">
        <v>36</v>
      </c>
    </row>
    <row r="8" spans="1:13" x14ac:dyDescent="0.3">
      <c r="A8" t="s">
        <v>37</v>
      </c>
      <c r="B8" s="19">
        <v>1</v>
      </c>
      <c r="C8">
        <v>12</v>
      </c>
      <c r="D8">
        <v>12</v>
      </c>
      <c r="E8" s="6">
        <f>'Software Roles'!$B$3</f>
        <v>1500</v>
      </c>
      <c r="F8" s="1">
        <f t="shared" si="0"/>
        <v>18000</v>
      </c>
      <c r="G8" s="1">
        <f t="shared" si="1"/>
        <v>18000</v>
      </c>
      <c r="H8" s="4">
        <f t="shared" si="2"/>
        <v>36000</v>
      </c>
      <c r="M8" t="s">
        <v>38</v>
      </c>
    </row>
    <row r="9" spans="1:13" x14ac:dyDescent="0.3">
      <c r="A9" t="s">
        <v>39</v>
      </c>
      <c r="B9" s="19">
        <v>1</v>
      </c>
      <c r="C9">
        <v>12</v>
      </c>
      <c r="D9">
        <v>12</v>
      </c>
      <c r="E9" s="6">
        <f>'Software Roles'!B$4</f>
        <v>2500</v>
      </c>
      <c r="F9" s="1">
        <f t="shared" si="0"/>
        <v>30000</v>
      </c>
      <c r="G9" s="1">
        <f t="shared" si="1"/>
        <v>30000</v>
      </c>
      <c r="H9" s="4">
        <f t="shared" si="2"/>
        <v>60000</v>
      </c>
      <c r="M9" t="s">
        <v>40</v>
      </c>
    </row>
    <row r="10" spans="1:13" x14ac:dyDescent="0.3">
      <c r="A10" t="s">
        <v>41</v>
      </c>
      <c r="B10" s="19">
        <v>1</v>
      </c>
      <c r="C10">
        <v>12</v>
      </c>
      <c r="D10">
        <v>12</v>
      </c>
      <c r="E10" s="6">
        <f>'Software Roles'!B$4</f>
        <v>2500</v>
      </c>
      <c r="F10" s="1">
        <f t="shared" si="0"/>
        <v>30000</v>
      </c>
      <c r="G10" s="1">
        <f t="shared" si="1"/>
        <v>30000</v>
      </c>
      <c r="H10" s="4">
        <f t="shared" si="2"/>
        <v>60000</v>
      </c>
    </row>
    <row r="11" spans="1:13" x14ac:dyDescent="0.3">
      <c r="A11" t="s">
        <v>42</v>
      </c>
      <c r="B11" s="19">
        <v>1</v>
      </c>
      <c r="C11">
        <v>12</v>
      </c>
      <c r="D11">
        <v>12</v>
      </c>
      <c r="E11" s="6">
        <f>'Software Roles'!B5</f>
        <v>3125</v>
      </c>
      <c r="F11" s="1">
        <f t="shared" si="0"/>
        <v>37500</v>
      </c>
      <c r="G11" s="1">
        <f t="shared" si="1"/>
        <v>37500</v>
      </c>
      <c r="H11" s="4">
        <f t="shared" si="2"/>
        <v>75000</v>
      </c>
    </row>
    <row r="12" spans="1:13" x14ac:dyDescent="0.3">
      <c r="A12" t="s">
        <v>43</v>
      </c>
      <c r="B12" s="19">
        <v>0.5</v>
      </c>
      <c r="C12">
        <v>12</v>
      </c>
      <c r="D12">
        <v>12</v>
      </c>
      <c r="E12" s="6">
        <f>'Software Roles'!B6</f>
        <v>1875</v>
      </c>
      <c r="F12" s="1">
        <f t="shared" si="0"/>
        <v>11250</v>
      </c>
      <c r="G12" s="1">
        <f t="shared" si="1"/>
        <v>11250</v>
      </c>
      <c r="H12" s="4">
        <f t="shared" si="2"/>
        <v>22500</v>
      </c>
      <c r="L12" t="s">
        <v>11</v>
      </c>
    </row>
    <row r="13" spans="1:13" x14ac:dyDescent="0.3">
      <c r="A13" t="s">
        <v>44</v>
      </c>
      <c r="B13" s="19">
        <v>0.3</v>
      </c>
      <c r="C13">
        <v>12</v>
      </c>
      <c r="D13">
        <v>12</v>
      </c>
      <c r="E13" s="6">
        <f>'Software Roles'!B7</f>
        <v>2500</v>
      </c>
      <c r="F13" s="1">
        <f t="shared" si="0"/>
        <v>9000</v>
      </c>
      <c r="G13" s="1">
        <f t="shared" si="1"/>
        <v>9000</v>
      </c>
      <c r="H13" s="4">
        <f t="shared" si="2"/>
        <v>18000</v>
      </c>
      <c r="M13" t="s">
        <v>45</v>
      </c>
    </row>
    <row r="14" spans="1:13" x14ac:dyDescent="0.3">
      <c r="A14" t="s">
        <v>46</v>
      </c>
      <c r="B14" s="19">
        <v>0.5</v>
      </c>
      <c r="C14">
        <v>12</v>
      </c>
      <c r="D14">
        <v>12</v>
      </c>
      <c r="E14" s="6">
        <f>'Software Roles'!B8</f>
        <v>3750</v>
      </c>
      <c r="F14" s="1">
        <f t="shared" si="0"/>
        <v>22500</v>
      </c>
      <c r="G14" s="1">
        <f t="shared" si="1"/>
        <v>22500</v>
      </c>
      <c r="H14" s="4">
        <f t="shared" si="2"/>
        <v>45000</v>
      </c>
    </row>
    <row r="15" spans="1:13" x14ac:dyDescent="0.3">
      <c r="A15" t="s">
        <v>47</v>
      </c>
      <c r="B15" s="19">
        <v>1</v>
      </c>
      <c r="C15">
        <v>12</v>
      </c>
      <c r="D15">
        <v>12</v>
      </c>
      <c r="E15" s="6">
        <f>'Software Roles'!B$9</f>
        <v>1250</v>
      </c>
      <c r="F15" s="1">
        <f t="shared" si="0"/>
        <v>15000</v>
      </c>
      <c r="G15" s="1">
        <f t="shared" si="1"/>
        <v>15000</v>
      </c>
      <c r="H15" s="4">
        <f t="shared" si="2"/>
        <v>30000</v>
      </c>
    </row>
    <row r="16" spans="1:13" x14ac:dyDescent="0.3">
      <c r="A16" t="s">
        <v>48</v>
      </c>
      <c r="B16" s="19">
        <v>0.5</v>
      </c>
      <c r="C16">
        <v>12</v>
      </c>
      <c r="D16">
        <v>12</v>
      </c>
      <c r="E16" s="6">
        <f>'Software Roles'!B$9</f>
        <v>1250</v>
      </c>
      <c r="F16" s="1">
        <f t="shared" si="0"/>
        <v>7500</v>
      </c>
      <c r="G16" s="1">
        <f t="shared" si="1"/>
        <v>7500</v>
      </c>
      <c r="H16" s="4">
        <f t="shared" si="2"/>
        <v>15000</v>
      </c>
    </row>
    <row r="17" spans="1:9" x14ac:dyDescent="0.3">
      <c r="A17" t="s">
        <v>49</v>
      </c>
      <c r="B17" s="19">
        <v>0.5</v>
      </c>
      <c r="C17">
        <v>12</v>
      </c>
      <c r="D17">
        <v>12</v>
      </c>
      <c r="E17" s="6">
        <f>'Software Roles'!B$9</f>
        <v>1250</v>
      </c>
      <c r="F17" s="1">
        <f t="shared" si="0"/>
        <v>7500</v>
      </c>
      <c r="G17" s="1">
        <f t="shared" si="1"/>
        <v>7500</v>
      </c>
      <c r="H17" s="4">
        <f t="shared" si="2"/>
        <v>15000</v>
      </c>
    </row>
    <row r="18" spans="1:9" s="48" customFormat="1" x14ac:dyDescent="0.3">
      <c r="A18" s="48" t="s">
        <v>50</v>
      </c>
      <c r="B18" s="47">
        <v>1</v>
      </c>
      <c r="C18" s="48">
        <v>12</v>
      </c>
      <c r="D18" s="48">
        <v>12</v>
      </c>
      <c r="E18" s="49">
        <f>'Software Roles'!B10</f>
        <v>14559.300000000001</v>
      </c>
      <c r="F18" s="50">
        <f t="shared" si="0"/>
        <v>174711.6</v>
      </c>
      <c r="G18" s="50">
        <f t="shared" si="1"/>
        <v>174711.6</v>
      </c>
      <c r="H18" s="51">
        <f t="shared" si="2"/>
        <v>349423.2</v>
      </c>
    </row>
    <row r="19" spans="1:9" x14ac:dyDescent="0.3">
      <c r="A19" t="s">
        <v>51</v>
      </c>
      <c r="B19" s="19">
        <v>1</v>
      </c>
      <c r="C19">
        <v>2</v>
      </c>
      <c r="D19">
        <v>12</v>
      </c>
      <c r="E19" s="6">
        <f>'Software Roles'!B11</f>
        <v>1000</v>
      </c>
      <c r="F19" s="1">
        <f t="shared" si="0"/>
        <v>2000</v>
      </c>
      <c r="G19" s="1">
        <f t="shared" si="1"/>
        <v>12000</v>
      </c>
      <c r="H19" s="4">
        <f t="shared" si="2"/>
        <v>14000</v>
      </c>
    </row>
    <row r="20" spans="1:9" s="48" customFormat="1" x14ac:dyDescent="0.3">
      <c r="A20" s="48" t="s">
        <v>52</v>
      </c>
      <c r="B20" s="47">
        <v>1</v>
      </c>
      <c r="C20" s="48">
        <v>10</v>
      </c>
      <c r="D20" s="48">
        <v>0</v>
      </c>
      <c r="E20" s="50">
        <f>'Software Roles'!B12</f>
        <v>14356.650000000001</v>
      </c>
      <c r="F20" s="50">
        <f>B20*C20*E20</f>
        <v>143566.5</v>
      </c>
      <c r="G20" s="50">
        <f>B20*D20*E20</f>
        <v>0</v>
      </c>
      <c r="H20" s="51">
        <f>B20*(C20+D20)*E20</f>
        <v>143566.5</v>
      </c>
    </row>
    <row r="21" spans="1:9" x14ac:dyDescent="0.3">
      <c r="A21" t="s">
        <v>53</v>
      </c>
      <c r="B21" s="19">
        <v>1</v>
      </c>
      <c r="C21">
        <v>12</v>
      </c>
      <c r="D21">
        <v>12</v>
      </c>
      <c r="E21" s="5">
        <f>Subscriptions!B1</f>
        <v>7493.5</v>
      </c>
      <c r="F21" s="1">
        <f t="shared" si="0"/>
        <v>89922</v>
      </c>
      <c r="G21" s="1">
        <f t="shared" si="1"/>
        <v>89922</v>
      </c>
      <c r="H21" s="4">
        <f t="shared" si="2"/>
        <v>179844</v>
      </c>
      <c r="I21" s="8"/>
    </row>
    <row r="22" spans="1:9" x14ac:dyDescent="0.3">
      <c r="E22" s="1"/>
    </row>
    <row r="23" spans="1:9" x14ac:dyDescent="0.3">
      <c r="A23" t="s">
        <v>26</v>
      </c>
      <c r="E23" s="1"/>
      <c r="F23" s="1">
        <f>SUM(F4:F21)</f>
        <v>670450.1</v>
      </c>
    </row>
    <row r="24" spans="1:9" x14ac:dyDescent="0.3">
      <c r="A24" t="s">
        <v>27</v>
      </c>
      <c r="E24" s="1"/>
      <c r="G24" s="1">
        <f>SUM(G4:G21)</f>
        <v>536883.6</v>
      </c>
    </row>
    <row r="25" spans="1:9" x14ac:dyDescent="0.3">
      <c r="A25" s="2" t="s">
        <v>54</v>
      </c>
      <c r="H25" s="4">
        <f>SUM(H4:H21)</f>
        <v>1207333.7</v>
      </c>
    </row>
    <row r="27" spans="1:9" x14ac:dyDescent="0.3">
      <c r="A27" s="15" t="s">
        <v>55</v>
      </c>
    </row>
  </sheetData>
  <mergeCells count="2">
    <mergeCell ref="C2:D2"/>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52137-47CA-3545-8D5E-A2B6DC956B28}">
  <sheetPr>
    <tabColor theme="9"/>
  </sheetPr>
  <dimension ref="A1:I18"/>
  <sheetViews>
    <sheetView zoomScale="90" zoomScaleNormal="90" workbookViewId="0">
      <selection sqref="A1:B1"/>
    </sheetView>
  </sheetViews>
  <sheetFormatPr defaultColWidth="11" defaultRowHeight="15.6" x14ac:dyDescent="0.3"/>
  <cols>
    <col min="1" max="1" width="37.796875" customWidth="1"/>
    <col min="2" max="2" width="20.69921875" style="5" customWidth="1"/>
    <col min="6" max="6" width="14.69921875" customWidth="1"/>
    <col min="7" max="7" width="12.5" bestFit="1" customWidth="1"/>
    <col min="8" max="8" width="2.296875" customWidth="1"/>
    <col min="9" max="9" width="25.69921875" style="15" customWidth="1"/>
  </cols>
  <sheetData>
    <row r="1" spans="1:9" x14ac:dyDescent="0.3">
      <c r="A1" s="80" t="s">
        <v>56</v>
      </c>
      <c r="B1" s="80"/>
      <c r="C1" s="79" t="s">
        <v>57</v>
      </c>
      <c r="D1" s="79"/>
      <c r="E1" s="79"/>
      <c r="F1" s="79"/>
      <c r="G1" s="79"/>
    </row>
    <row r="2" spans="1:9" x14ac:dyDescent="0.3">
      <c r="A2" s="13" t="s">
        <v>58</v>
      </c>
      <c r="B2" s="56" t="s">
        <v>59</v>
      </c>
      <c r="C2" s="14" t="s">
        <v>3</v>
      </c>
      <c r="D2" s="14" t="s">
        <v>60</v>
      </c>
      <c r="E2" s="14" t="s">
        <v>61</v>
      </c>
      <c r="F2" s="14" t="s">
        <v>62</v>
      </c>
      <c r="G2" s="14" t="s">
        <v>4</v>
      </c>
      <c r="I2" s="16" t="s">
        <v>63</v>
      </c>
    </row>
    <row r="3" spans="1:9" x14ac:dyDescent="0.3">
      <c r="A3" t="s">
        <v>64</v>
      </c>
      <c r="B3" s="1">
        <f>1200*1.25</f>
        <v>1500</v>
      </c>
      <c r="C3" s="1">
        <f>1500+(1500*0.4)</f>
        <v>2100</v>
      </c>
      <c r="D3" s="1">
        <v>3200</v>
      </c>
      <c r="E3" s="1">
        <v>7360</v>
      </c>
      <c r="F3" s="1">
        <v>13600</v>
      </c>
      <c r="G3" s="1">
        <v>0</v>
      </c>
      <c r="I3" s="15" t="s">
        <v>65</v>
      </c>
    </row>
    <row r="4" spans="1:9" x14ac:dyDescent="0.3">
      <c r="A4" t="s">
        <v>66</v>
      </c>
      <c r="B4" s="1">
        <f>2000*1.25</f>
        <v>2500</v>
      </c>
      <c r="C4" s="1">
        <f>2500*1.4</f>
        <v>3500</v>
      </c>
      <c r="D4" s="1">
        <v>5600</v>
      </c>
      <c r="E4" s="1">
        <v>9240</v>
      </c>
      <c r="F4" s="1">
        <v>13600</v>
      </c>
      <c r="G4" s="1">
        <v>0</v>
      </c>
      <c r="I4" s="15" t="s">
        <v>65</v>
      </c>
    </row>
    <row r="5" spans="1:9" x14ac:dyDescent="0.3">
      <c r="A5" t="s">
        <v>42</v>
      </c>
      <c r="B5" s="1">
        <f>2500*1.25</f>
        <v>3125</v>
      </c>
      <c r="C5" s="1"/>
      <c r="D5" s="1">
        <v>6400</v>
      </c>
      <c r="E5" s="1">
        <v>10200</v>
      </c>
      <c r="F5" s="1">
        <v>13600</v>
      </c>
      <c r="G5" s="1"/>
      <c r="I5" s="15" t="s">
        <v>65</v>
      </c>
    </row>
    <row r="6" spans="1:9" x14ac:dyDescent="0.3">
      <c r="A6" t="s">
        <v>6</v>
      </c>
      <c r="B6" s="1">
        <f>1500*1.25</f>
        <v>1875</v>
      </c>
      <c r="C6" s="1"/>
      <c r="D6" s="1"/>
      <c r="E6" s="1"/>
      <c r="F6" s="1"/>
      <c r="G6" s="1"/>
      <c r="I6" s="15" t="s">
        <v>67</v>
      </c>
    </row>
    <row r="7" spans="1:9" x14ac:dyDescent="0.3">
      <c r="A7" t="s">
        <v>68</v>
      </c>
      <c r="B7" s="1">
        <f>2000*1.25</f>
        <v>2500</v>
      </c>
      <c r="C7" s="1"/>
      <c r="D7" s="1"/>
      <c r="E7" s="1"/>
      <c r="F7" s="1"/>
      <c r="G7" s="1"/>
      <c r="I7" s="15" t="s">
        <v>67</v>
      </c>
    </row>
    <row r="8" spans="1:9" x14ac:dyDescent="0.3">
      <c r="A8" t="s">
        <v>7</v>
      </c>
      <c r="B8" s="1">
        <f>3000*1.25</f>
        <v>3750</v>
      </c>
      <c r="C8" s="1"/>
      <c r="D8" s="1">
        <v>7200</v>
      </c>
      <c r="E8" s="1"/>
      <c r="F8" s="1"/>
      <c r="G8" s="1">
        <v>12622</v>
      </c>
      <c r="I8" s="15" t="s">
        <v>65</v>
      </c>
    </row>
    <row r="9" spans="1:9" x14ac:dyDescent="0.3">
      <c r="A9" t="s">
        <v>69</v>
      </c>
      <c r="B9" s="1">
        <f>1000*1.25</f>
        <v>1250</v>
      </c>
      <c r="C9" s="1">
        <f>1500+(1500*0.4)</f>
        <v>2100</v>
      </c>
      <c r="D9" s="1">
        <v>3200</v>
      </c>
      <c r="E9" s="1">
        <v>7360</v>
      </c>
      <c r="F9" s="1">
        <v>13600</v>
      </c>
      <c r="G9" s="1"/>
      <c r="I9" s="15" t="s">
        <v>65</v>
      </c>
    </row>
    <row r="10" spans="1:9" s="48" customFormat="1" x14ac:dyDescent="0.3">
      <c r="A10" s="48" t="s">
        <v>70</v>
      </c>
      <c r="B10" s="50">
        <f>13866*1.05</f>
        <v>14559.300000000001</v>
      </c>
      <c r="C10" s="50">
        <f>2500*1.25</f>
        <v>3125</v>
      </c>
      <c r="D10" s="50"/>
      <c r="E10" s="50"/>
      <c r="F10" s="50"/>
      <c r="G10" s="1">
        <v>13866</v>
      </c>
      <c r="I10" s="55" t="s">
        <v>175</v>
      </c>
    </row>
    <row r="11" spans="1:9" s="48" customFormat="1" x14ac:dyDescent="0.3">
      <c r="A11" s="48" t="s">
        <v>51</v>
      </c>
      <c r="B11" s="50">
        <f>800*1.25</f>
        <v>1000</v>
      </c>
      <c r="I11" s="55" t="s">
        <v>71</v>
      </c>
    </row>
    <row r="12" spans="1:9" s="48" customFormat="1" x14ac:dyDescent="0.3">
      <c r="A12" s="48" t="s">
        <v>72</v>
      </c>
      <c r="B12" s="50">
        <f>13673*1.05</f>
        <v>14356.650000000001</v>
      </c>
      <c r="G12" s="1">
        <v>13673</v>
      </c>
      <c r="I12" s="55" t="s">
        <v>175</v>
      </c>
    </row>
    <row r="14" spans="1:9" x14ac:dyDescent="0.3">
      <c r="A14" s="2" t="s">
        <v>73</v>
      </c>
    </row>
    <row r="15" spans="1:9" x14ac:dyDescent="0.3">
      <c r="A15" s="15" t="s">
        <v>74</v>
      </c>
      <c r="B15" s="17"/>
    </row>
    <row r="16" spans="1:9" x14ac:dyDescent="0.3">
      <c r="A16" s="15" t="s">
        <v>75</v>
      </c>
    </row>
    <row r="17" spans="1:6" x14ac:dyDescent="0.3">
      <c r="A17" t="s">
        <v>76</v>
      </c>
    </row>
    <row r="18" spans="1:6" x14ac:dyDescent="0.3">
      <c r="F18" s="8"/>
    </row>
  </sheetData>
  <mergeCells count="2">
    <mergeCell ref="C1:G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77683-C4F5-404D-96DB-C54E3C30E5B2}">
  <sheetPr>
    <tabColor theme="9"/>
  </sheetPr>
  <dimension ref="A1:F24"/>
  <sheetViews>
    <sheetView zoomScaleNormal="100" workbookViewId="0"/>
  </sheetViews>
  <sheetFormatPr defaultColWidth="11" defaultRowHeight="15.6" x14ac:dyDescent="0.3"/>
  <cols>
    <col min="1" max="1" width="17.69921875" customWidth="1"/>
    <col min="2" max="2" width="13" bestFit="1" customWidth="1"/>
    <col min="3" max="3" width="13.296875" bestFit="1" customWidth="1"/>
    <col min="4" max="4" width="16" bestFit="1" customWidth="1"/>
    <col min="5" max="5" width="13.19921875" customWidth="1"/>
    <col min="6" max="6" width="134.69921875" customWidth="1"/>
  </cols>
  <sheetData>
    <row r="1" spans="1:6" ht="27" x14ac:dyDescent="0.3">
      <c r="A1" s="9" t="s">
        <v>77</v>
      </c>
      <c r="B1" s="10">
        <v>7493.5</v>
      </c>
      <c r="C1" s="11"/>
      <c r="D1" s="11"/>
      <c r="E1" s="11"/>
      <c r="F1" s="12" t="s">
        <v>78</v>
      </c>
    </row>
    <row r="2" spans="1:6" x14ac:dyDescent="0.3">
      <c r="A2" s="11"/>
      <c r="B2" s="11"/>
      <c r="C2" s="11"/>
      <c r="D2" s="11"/>
      <c r="E2" s="11"/>
      <c r="F2" s="11"/>
    </row>
    <row r="3" spans="1:6" x14ac:dyDescent="0.3">
      <c r="A3" s="9" t="s">
        <v>79</v>
      </c>
      <c r="B3" s="9" t="s">
        <v>80</v>
      </c>
      <c r="C3" s="9" t="s">
        <v>81</v>
      </c>
      <c r="D3" s="9" t="s">
        <v>82</v>
      </c>
      <c r="E3" s="9" t="s">
        <v>83</v>
      </c>
      <c r="F3" s="9" t="s">
        <v>84</v>
      </c>
    </row>
    <row r="4" spans="1:6" x14ac:dyDescent="0.3">
      <c r="A4" s="11" t="s">
        <v>85</v>
      </c>
      <c r="B4" s="10">
        <v>99</v>
      </c>
      <c r="C4" s="11">
        <v>15</v>
      </c>
      <c r="D4" s="11">
        <v>1</v>
      </c>
      <c r="E4" s="10">
        <v>1485</v>
      </c>
      <c r="F4" s="11" t="s">
        <v>179</v>
      </c>
    </row>
    <row r="5" spans="1:6" x14ac:dyDescent="0.3">
      <c r="A5" s="11" t="s">
        <v>86</v>
      </c>
      <c r="B5" s="10">
        <v>50</v>
      </c>
      <c r="C5" s="11">
        <v>5</v>
      </c>
      <c r="D5" s="11">
        <v>1</v>
      </c>
      <c r="E5" s="10">
        <v>250</v>
      </c>
      <c r="F5" s="11" t="s">
        <v>87</v>
      </c>
    </row>
    <row r="6" spans="1:6" x14ac:dyDescent="0.3">
      <c r="A6" s="11" t="s">
        <v>88</v>
      </c>
      <c r="B6" s="10">
        <v>300</v>
      </c>
      <c r="C6" s="11">
        <v>5</v>
      </c>
      <c r="D6" s="11">
        <v>1</v>
      </c>
      <c r="E6" s="10">
        <v>1500</v>
      </c>
      <c r="F6" s="11" t="s">
        <v>89</v>
      </c>
    </row>
    <row r="7" spans="1:6" x14ac:dyDescent="0.3">
      <c r="A7" s="11" t="s">
        <v>90</v>
      </c>
      <c r="B7" s="10">
        <v>300</v>
      </c>
      <c r="C7" s="11">
        <v>5</v>
      </c>
      <c r="D7" s="11">
        <v>1</v>
      </c>
      <c r="E7" s="10">
        <v>1500</v>
      </c>
      <c r="F7" s="11" t="s">
        <v>91</v>
      </c>
    </row>
    <row r="8" spans="1:6" x14ac:dyDescent="0.3">
      <c r="A8" s="11" t="s">
        <v>92</v>
      </c>
      <c r="B8" s="10">
        <v>45</v>
      </c>
      <c r="C8" s="11">
        <v>15</v>
      </c>
      <c r="D8" s="11">
        <v>1</v>
      </c>
      <c r="E8" s="10">
        <v>675</v>
      </c>
      <c r="F8" s="11" t="s">
        <v>180</v>
      </c>
    </row>
    <row r="9" spans="1:6" x14ac:dyDescent="0.3">
      <c r="A9" s="11" t="s">
        <v>93</v>
      </c>
      <c r="B9" s="10">
        <v>105</v>
      </c>
      <c r="C9" s="11">
        <v>15</v>
      </c>
      <c r="D9" s="11">
        <v>1</v>
      </c>
      <c r="E9" s="10">
        <v>1575</v>
      </c>
      <c r="F9" s="11" t="s">
        <v>94</v>
      </c>
    </row>
    <row r="10" spans="1:6" x14ac:dyDescent="0.3">
      <c r="A10" s="11" t="s">
        <v>95</v>
      </c>
      <c r="B10" s="10">
        <v>5</v>
      </c>
      <c r="C10" s="11">
        <v>1</v>
      </c>
      <c r="D10" s="11">
        <v>1</v>
      </c>
      <c r="E10" s="10">
        <v>5</v>
      </c>
      <c r="F10" s="11" t="s">
        <v>96</v>
      </c>
    </row>
    <row r="11" spans="1:6" x14ac:dyDescent="0.3">
      <c r="A11" s="11" t="s">
        <v>97</v>
      </c>
      <c r="B11" s="10">
        <v>10</v>
      </c>
      <c r="C11" s="11">
        <v>15</v>
      </c>
      <c r="D11" s="11">
        <v>1</v>
      </c>
      <c r="E11" s="10">
        <v>150</v>
      </c>
      <c r="F11" s="11" t="s">
        <v>98</v>
      </c>
    </row>
    <row r="12" spans="1:6" x14ac:dyDescent="0.3">
      <c r="A12" s="11" t="s">
        <v>99</v>
      </c>
      <c r="B12" s="10">
        <v>10</v>
      </c>
      <c r="C12" s="11">
        <v>5</v>
      </c>
      <c r="D12" s="11">
        <v>1</v>
      </c>
      <c r="E12" s="10">
        <v>50</v>
      </c>
      <c r="F12" s="11" t="s">
        <v>100</v>
      </c>
    </row>
    <row r="13" spans="1:6" x14ac:dyDescent="0.3">
      <c r="A13" s="11" t="s">
        <v>101</v>
      </c>
      <c r="B13" s="10">
        <v>30</v>
      </c>
      <c r="C13" s="11">
        <v>2</v>
      </c>
      <c r="D13" s="11">
        <v>1</v>
      </c>
      <c r="E13" s="10">
        <v>60</v>
      </c>
      <c r="F13" s="11" t="s">
        <v>102</v>
      </c>
    </row>
    <row r="14" spans="1:6" x14ac:dyDescent="0.3">
      <c r="A14" s="11" t="s">
        <v>103</v>
      </c>
      <c r="B14" s="10">
        <v>8</v>
      </c>
      <c r="C14" s="11">
        <v>15</v>
      </c>
      <c r="D14" s="11">
        <v>1</v>
      </c>
      <c r="E14" s="10">
        <v>120</v>
      </c>
      <c r="F14" s="11" t="s">
        <v>104</v>
      </c>
    </row>
    <row r="15" spans="1:6" x14ac:dyDescent="0.3">
      <c r="A15" s="11" t="s">
        <v>105</v>
      </c>
      <c r="B15" s="10">
        <v>12.5</v>
      </c>
      <c r="C15" s="11">
        <v>1</v>
      </c>
      <c r="D15" s="11">
        <v>1</v>
      </c>
      <c r="E15" s="10">
        <v>12.5</v>
      </c>
      <c r="F15" s="11" t="s">
        <v>106</v>
      </c>
    </row>
    <row r="16" spans="1:6" x14ac:dyDescent="0.3">
      <c r="A16" s="11" t="s">
        <v>107</v>
      </c>
      <c r="B16" s="10">
        <v>99</v>
      </c>
      <c r="C16" s="11">
        <v>1</v>
      </c>
      <c r="D16" s="11">
        <v>1</v>
      </c>
      <c r="E16" s="10">
        <v>99</v>
      </c>
      <c r="F16" s="11" t="s">
        <v>108</v>
      </c>
    </row>
    <row r="17" spans="1:6" x14ac:dyDescent="0.3">
      <c r="A17" s="11" t="s">
        <v>109</v>
      </c>
      <c r="B17" s="10">
        <v>12</v>
      </c>
      <c r="C17" s="11">
        <v>1</v>
      </c>
      <c r="D17" s="11">
        <v>1</v>
      </c>
      <c r="E17" s="10">
        <v>12</v>
      </c>
      <c r="F17" s="11" t="s">
        <v>110</v>
      </c>
    </row>
    <row r="21" spans="1:6" x14ac:dyDescent="0.3">
      <c r="A21" s="15" t="s">
        <v>111</v>
      </c>
    </row>
    <row r="22" spans="1:6" x14ac:dyDescent="0.3">
      <c r="A22" s="15" t="s">
        <v>112</v>
      </c>
    </row>
    <row r="23" spans="1:6" x14ac:dyDescent="0.3">
      <c r="A23" s="15" t="s">
        <v>113</v>
      </c>
    </row>
    <row r="24" spans="1:6" x14ac:dyDescent="0.3">
      <c r="A24" s="15"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E852E-0B9C-C448-BEB9-F66E4370B522}">
  <sheetPr>
    <tabColor theme="7"/>
  </sheetPr>
  <dimension ref="A1:K34"/>
  <sheetViews>
    <sheetView zoomScale="90" zoomScaleNormal="90" workbookViewId="0">
      <selection sqref="A1:G1"/>
    </sheetView>
  </sheetViews>
  <sheetFormatPr defaultColWidth="11" defaultRowHeight="15.6" x14ac:dyDescent="0.3"/>
  <cols>
    <col min="1" max="1" width="3.19921875" customWidth="1"/>
    <col min="2" max="2" width="25.296875" customWidth="1"/>
    <col min="3" max="3" width="17.19921875" customWidth="1"/>
    <col min="4" max="6" width="15.5" customWidth="1"/>
    <col min="7" max="7" width="52" customWidth="1"/>
    <col min="8" max="8" width="2.5" customWidth="1"/>
  </cols>
  <sheetData>
    <row r="1" spans="1:7" x14ac:dyDescent="0.3">
      <c r="A1" s="81" t="s">
        <v>114</v>
      </c>
      <c r="B1" s="81"/>
      <c r="C1" s="81"/>
      <c r="D1" s="81"/>
      <c r="E1" s="81"/>
      <c r="F1" s="81"/>
      <c r="G1" s="81"/>
    </row>
    <row r="2" spans="1:7" x14ac:dyDescent="0.3">
      <c r="A2" s="46" t="s">
        <v>115</v>
      </c>
      <c r="B2" s="44"/>
      <c r="C2" s="44" t="s">
        <v>116</v>
      </c>
      <c r="D2" s="44" t="s">
        <v>117</v>
      </c>
      <c r="E2" s="44" t="s">
        <v>118</v>
      </c>
      <c r="F2" s="44" t="s">
        <v>8</v>
      </c>
      <c r="G2" s="45" t="s">
        <v>11</v>
      </c>
    </row>
    <row r="3" spans="1:7" x14ac:dyDescent="0.3">
      <c r="A3" s="21" t="s">
        <v>119</v>
      </c>
      <c r="B3" s="21"/>
      <c r="C3" s="21"/>
      <c r="D3" s="42"/>
      <c r="E3" s="43"/>
      <c r="F3" s="42">
        <f>SUM(F4:F7)</f>
        <v>86000</v>
      </c>
      <c r="G3" t="s">
        <v>120</v>
      </c>
    </row>
    <row r="4" spans="1:7" x14ac:dyDescent="0.3">
      <c r="B4" t="s">
        <v>121</v>
      </c>
      <c r="C4">
        <v>0.5</v>
      </c>
      <c r="D4" s="1">
        <v>120000</v>
      </c>
      <c r="E4" s="47">
        <v>0.3</v>
      </c>
      <c r="F4" s="1">
        <f>C4*D4*E4</f>
        <v>18000</v>
      </c>
    </row>
    <row r="5" spans="1:7" x14ac:dyDescent="0.3">
      <c r="B5" t="s">
        <v>122</v>
      </c>
      <c r="C5">
        <v>1</v>
      </c>
      <c r="D5" s="1">
        <v>120000</v>
      </c>
      <c r="E5" s="47">
        <v>0.2</v>
      </c>
      <c r="F5" s="1">
        <f t="shared" ref="F5:F8" si="0">C5*D5*E5</f>
        <v>24000</v>
      </c>
    </row>
    <row r="6" spans="1:7" x14ac:dyDescent="0.3">
      <c r="B6" t="s">
        <v>182</v>
      </c>
      <c r="C6">
        <v>1</v>
      </c>
      <c r="D6" s="1">
        <v>100000</v>
      </c>
      <c r="E6" s="47">
        <v>0.2</v>
      </c>
      <c r="F6" s="1">
        <f t="shared" si="0"/>
        <v>20000</v>
      </c>
    </row>
    <row r="7" spans="1:7" x14ac:dyDescent="0.3">
      <c r="B7" t="s">
        <v>7</v>
      </c>
      <c r="C7">
        <v>1</v>
      </c>
      <c r="D7" s="1">
        <v>120000</v>
      </c>
      <c r="E7" s="47">
        <v>0.2</v>
      </c>
      <c r="F7" s="1">
        <f t="shared" si="0"/>
        <v>24000</v>
      </c>
    </row>
    <row r="8" spans="1:7" x14ac:dyDescent="0.3">
      <c r="A8" s="21" t="s">
        <v>123</v>
      </c>
      <c r="B8" s="21"/>
      <c r="C8" s="21">
        <v>4</v>
      </c>
      <c r="D8" s="42">
        <v>62500</v>
      </c>
      <c r="E8" s="43">
        <v>1</v>
      </c>
      <c r="F8" s="42">
        <f t="shared" si="0"/>
        <v>250000</v>
      </c>
      <c r="G8" t="s">
        <v>124</v>
      </c>
    </row>
    <row r="9" spans="1:7" x14ac:dyDescent="0.3">
      <c r="A9" s="21" t="s">
        <v>125</v>
      </c>
      <c r="B9" s="21"/>
      <c r="C9" s="21"/>
      <c r="D9" s="42"/>
      <c r="E9" s="43"/>
      <c r="F9" s="42">
        <f>SUM(F10:F12)</f>
        <v>100000</v>
      </c>
    </row>
    <row r="10" spans="1:7" x14ac:dyDescent="0.3">
      <c r="B10" t="s">
        <v>126</v>
      </c>
      <c r="D10" s="1">
        <v>40000</v>
      </c>
      <c r="E10" s="19">
        <v>1</v>
      </c>
      <c r="F10" s="1">
        <f>D10*E10</f>
        <v>40000</v>
      </c>
    </row>
    <row r="11" spans="1:7" x14ac:dyDescent="0.3">
      <c r="B11" t="s">
        <v>127</v>
      </c>
      <c r="D11" s="1">
        <v>20000</v>
      </c>
      <c r="E11" s="19">
        <v>1</v>
      </c>
      <c r="F11" s="1">
        <f t="shared" ref="F11:F12" si="1">D11*E11</f>
        <v>20000</v>
      </c>
    </row>
    <row r="12" spans="1:7" x14ac:dyDescent="0.3">
      <c r="B12" t="s">
        <v>128</v>
      </c>
      <c r="D12" s="1">
        <v>40000</v>
      </c>
      <c r="E12" s="19">
        <v>1</v>
      </c>
      <c r="F12" s="1">
        <f t="shared" si="1"/>
        <v>40000</v>
      </c>
      <c r="G12" t="s">
        <v>129</v>
      </c>
    </row>
    <row r="13" spans="1:7" x14ac:dyDescent="0.3">
      <c r="A13" s="21" t="s">
        <v>130</v>
      </c>
      <c r="B13" s="21"/>
      <c r="C13" s="21"/>
      <c r="D13" s="42">
        <v>25000</v>
      </c>
      <c r="E13" s="43">
        <v>1</v>
      </c>
      <c r="F13" s="42">
        <f>D13*E13</f>
        <v>25000</v>
      </c>
    </row>
    <row r="14" spans="1:7" x14ac:dyDescent="0.3">
      <c r="B14" t="s">
        <v>79</v>
      </c>
      <c r="D14" s="1"/>
      <c r="E14" s="19"/>
      <c r="F14" s="1"/>
    </row>
    <row r="15" spans="1:7" x14ac:dyDescent="0.3">
      <c r="B15" t="s">
        <v>131</v>
      </c>
      <c r="D15" s="1"/>
      <c r="E15" s="19"/>
      <c r="F15" s="1"/>
    </row>
    <row r="16" spans="1:7" x14ac:dyDescent="0.3">
      <c r="B16" t="s">
        <v>132</v>
      </c>
      <c r="D16" s="1"/>
      <c r="E16" s="19"/>
      <c r="F16" s="1"/>
    </row>
    <row r="17" spans="1:11" x14ac:dyDescent="0.3">
      <c r="B17" t="s">
        <v>133</v>
      </c>
      <c r="D17" s="1"/>
      <c r="E17" s="19"/>
      <c r="F17" s="1"/>
    </row>
    <row r="18" spans="1:11" x14ac:dyDescent="0.3">
      <c r="F18" s="1"/>
    </row>
    <row r="19" spans="1:11" x14ac:dyDescent="0.3">
      <c r="A19" t="s">
        <v>2</v>
      </c>
      <c r="F19" s="1">
        <f>SUM(F3+F8+F9+F13)</f>
        <v>461000</v>
      </c>
    </row>
    <row r="20" spans="1:11" x14ac:dyDescent="0.3">
      <c r="F20" s="1"/>
    </row>
    <row r="21" spans="1:11" x14ac:dyDescent="0.3">
      <c r="F21" s="1"/>
      <c r="I21" s="67"/>
      <c r="J21" s="67"/>
      <c r="K21" s="67"/>
    </row>
    <row r="22" spans="1:11" x14ac:dyDescent="0.3">
      <c r="F22" s="1"/>
      <c r="I22" s="67"/>
      <c r="J22" s="67"/>
      <c r="K22" s="67"/>
    </row>
    <row r="23" spans="1:11" x14ac:dyDescent="0.3">
      <c r="A23" s="18"/>
      <c r="I23" s="67"/>
      <c r="J23" s="67"/>
      <c r="K23" s="67"/>
    </row>
    <row r="24" spans="1:11" x14ac:dyDescent="0.3">
      <c r="G24" s="3"/>
    </row>
    <row r="26" spans="1:11" x14ac:dyDescent="0.3">
      <c r="A26" s="16" t="s">
        <v>134</v>
      </c>
    </row>
    <row r="27" spans="1:11" x14ac:dyDescent="0.3">
      <c r="A27" t="s">
        <v>121</v>
      </c>
    </row>
    <row r="28" spans="1:11" x14ac:dyDescent="0.3">
      <c r="A28" t="s">
        <v>135</v>
      </c>
    </row>
    <row r="29" spans="1:11" x14ac:dyDescent="0.3">
      <c r="A29" t="s">
        <v>176</v>
      </c>
    </row>
    <row r="30" spans="1:11" x14ac:dyDescent="0.3">
      <c r="A30" t="s">
        <v>136</v>
      </c>
    </row>
    <row r="31" spans="1:11" x14ac:dyDescent="0.3">
      <c r="A31" t="s">
        <v>137</v>
      </c>
    </row>
    <row r="33" spans="1:1" x14ac:dyDescent="0.3">
      <c r="A33" t="s">
        <v>138</v>
      </c>
    </row>
    <row r="34" spans="1:1" x14ac:dyDescent="0.3">
      <c r="A34" t="s">
        <v>181</v>
      </c>
    </row>
  </sheetData>
  <mergeCells count="1">
    <mergeCell ref="A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F4813-CC6D-F048-ABE7-7E1A02E8902E}">
  <sheetPr>
    <tabColor theme="8"/>
  </sheetPr>
  <dimension ref="A1:H51"/>
  <sheetViews>
    <sheetView zoomScale="90" zoomScaleNormal="90" workbookViewId="0"/>
  </sheetViews>
  <sheetFormatPr defaultColWidth="11" defaultRowHeight="15.6" x14ac:dyDescent="0.3"/>
  <cols>
    <col min="1" max="1" width="33.69921875" customWidth="1"/>
    <col min="2" max="4" width="20" customWidth="1"/>
    <col min="5" max="6" width="17.296875" bestFit="1" customWidth="1"/>
    <col min="7" max="7" width="21" customWidth="1"/>
    <col min="8" max="8" width="70.69921875" customWidth="1"/>
  </cols>
  <sheetData>
    <row r="1" spans="1:8" x14ac:dyDescent="0.3">
      <c r="A1" s="68" t="s">
        <v>139</v>
      </c>
      <c r="B1" s="69"/>
      <c r="C1" s="69"/>
      <c r="D1" s="70"/>
    </row>
    <row r="2" spans="1:8" x14ac:dyDescent="0.3">
      <c r="A2" s="28" t="s">
        <v>12</v>
      </c>
      <c r="B2" s="29" t="s">
        <v>140</v>
      </c>
      <c r="C2" s="29" t="s">
        <v>141</v>
      </c>
      <c r="D2" s="30" t="s">
        <v>2</v>
      </c>
    </row>
    <row r="3" spans="1:8" x14ac:dyDescent="0.3">
      <c r="A3" s="31" t="s">
        <v>16</v>
      </c>
      <c r="B3" s="32">
        <f>E18</f>
        <v>24999.554</v>
      </c>
      <c r="C3" s="32">
        <f>F19</f>
        <v>25004</v>
      </c>
      <c r="D3" s="33">
        <f>SUM(B3:C3)</f>
        <v>50003.554000000004</v>
      </c>
    </row>
    <row r="4" spans="1:8" x14ac:dyDescent="0.3">
      <c r="A4" s="31" t="s">
        <v>17</v>
      </c>
      <c r="B4" s="32">
        <f>E26</f>
        <v>13800</v>
      </c>
      <c r="C4" s="32">
        <f>F27</f>
        <v>13800</v>
      </c>
      <c r="D4" s="33">
        <f t="shared" ref="D4:D6" si="0">SUM(B4:C4)</f>
        <v>27600</v>
      </c>
    </row>
    <row r="5" spans="1:8" x14ac:dyDescent="0.3">
      <c r="A5" s="53" t="s">
        <v>18</v>
      </c>
      <c r="B5" s="32">
        <f>E36</f>
        <v>140000</v>
      </c>
      <c r="C5" s="32">
        <f>F37</f>
        <v>140000</v>
      </c>
      <c r="D5" s="33">
        <f t="shared" si="0"/>
        <v>280000</v>
      </c>
    </row>
    <row r="6" spans="1:8" x14ac:dyDescent="0.3">
      <c r="A6" s="31" t="s">
        <v>19</v>
      </c>
      <c r="B6" s="32">
        <f>E44</f>
        <v>114999.99999999999</v>
      </c>
      <c r="C6" s="32">
        <f>F45</f>
        <v>114999.99999999999</v>
      </c>
      <c r="D6" s="33">
        <f t="shared" si="0"/>
        <v>229999.99999999997</v>
      </c>
    </row>
    <row r="7" spans="1:8" ht="16.2" thickBot="1" x14ac:dyDescent="0.35">
      <c r="A7" s="35" t="s">
        <v>139</v>
      </c>
      <c r="B7" s="36">
        <f>SUM(B3:B6)</f>
        <v>293799.554</v>
      </c>
      <c r="C7" s="36">
        <f>SUM(C3:C6)</f>
        <v>293804</v>
      </c>
      <c r="D7" s="37">
        <f>SUM(D3:D6)</f>
        <v>587603.554</v>
      </c>
    </row>
    <row r="8" spans="1:8" x14ac:dyDescent="0.3">
      <c r="C8" s="4"/>
    </row>
    <row r="9" spans="1:8" x14ac:dyDescent="0.3">
      <c r="A9" s="82" t="s">
        <v>142</v>
      </c>
      <c r="B9" s="82"/>
      <c r="C9" s="82"/>
      <c r="D9" s="82"/>
      <c r="E9" s="82"/>
      <c r="F9" s="82"/>
      <c r="G9" s="82"/>
      <c r="H9" s="82"/>
    </row>
    <row r="10" spans="1:8" x14ac:dyDescent="0.3">
      <c r="A10" s="24" t="s">
        <v>16</v>
      </c>
      <c r="B10" s="24"/>
      <c r="C10" s="24"/>
      <c r="D10" s="24"/>
      <c r="E10" s="24"/>
      <c r="F10" s="24"/>
      <c r="G10" s="24"/>
      <c r="H10" s="24"/>
    </row>
    <row r="11" spans="1:8" x14ac:dyDescent="0.3">
      <c r="A11" s="13" t="s">
        <v>12</v>
      </c>
      <c r="B11" s="25" t="s">
        <v>143</v>
      </c>
      <c r="C11" s="25" t="s">
        <v>144</v>
      </c>
      <c r="D11" s="25" t="s">
        <v>145</v>
      </c>
      <c r="E11" s="25" t="s">
        <v>146</v>
      </c>
      <c r="F11" s="25" t="s">
        <v>147</v>
      </c>
      <c r="G11" s="25" t="s">
        <v>148</v>
      </c>
      <c r="H11" s="13" t="s">
        <v>11</v>
      </c>
    </row>
    <row r="12" spans="1:8" x14ac:dyDescent="0.3">
      <c r="A12" t="s">
        <v>149</v>
      </c>
      <c r="B12" s="1">
        <v>595</v>
      </c>
      <c r="C12" s="7">
        <v>30</v>
      </c>
      <c r="D12" s="7">
        <v>40</v>
      </c>
      <c r="E12" s="4">
        <f>B12*C12</f>
        <v>17850</v>
      </c>
      <c r="F12" s="4">
        <f>B12*D12</f>
        <v>23800</v>
      </c>
      <c r="G12" s="4">
        <f>SUM(E12:F12)</f>
        <v>41650</v>
      </c>
      <c r="H12" t="s">
        <v>183</v>
      </c>
    </row>
    <row r="13" spans="1:8" x14ac:dyDescent="0.3">
      <c r="A13" t="s">
        <v>150</v>
      </c>
      <c r="B13" s="1">
        <v>140</v>
      </c>
      <c r="C13" s="71">
        <v>8.2111000000000001</v>
      </c>
      <c r="D13" s="71">
        <v>8.6</v>
      </c>
      <c r="E13" s="4">
        <f t="shared" ref="E13" si="1">B13*C13</f>
        <v>1149.5540000000001</v>
      </c>
      <c r="F13" s="4">
        <f t="shared" ref="F13" si="2">B13*D13</f>
        <v>1204</v>
      </c>
      <c r="G13" s="4">
        <f t="shared" ref="G13:G16" si="3">SUM(E13:F13)</f>
        <v>2353.5540000000001</v>
      </c>
      <c r="H13" t="s">
        <v>151</v>
      </c>
    </row>
    <row r="14" spans="1:8" x14ac:dyDescent="0.3">
      <c r="B14" s="1"/>
      <c r="C14" s="7"/>
      <c r="D14" s="7"/>
      <c r="E14" s="4"/>
      <c r="F14" s="4"/>
      <c r="G14" s="4"/>
      <c r="H14" t="s">
        <v>152</v>
      </c>
    </row>
    <row r="15" spans="1:8" x14ac:dyDescent="0.3">
      <c r="A15" t="s">
        <v>153</v>
      </c>
      <c r="B15" s="1"/>
      <c r="C15" s="7"/>
      <c r="D15" s="7"/>
      <c r="E15" s="4">
        <v>1000</v>
      </c>
      <c r="F15" s="4">
        <v>0</v>
      </c>
      <c r="G15" s="4">
        <f t="shared" si="3"/>
        <v>1000</v>
      </c>
      <c r="H15" s="48"/>
    </row>
    <row r="16" spans="1:8" x14ac:dyDescent="0.3">
      <c r="A16" t="s">
        <v>154</v>
      </c>
      <c r="B16" s="1"/>
      <c r="C16" s="7"/>
      <c r="D16" s="7"/>
      <c r="E16" s="4">
        <v>5000</v>
      </c>
      <c r="F16" s="4"/>
      <c r="G16" s="4">
        <f t="shared" si="3"/>
        <v>5000</v>
      </c>
      <c r="H16" s="48"/>
    </row>
    <row r="18" spans="1:8" x14ac:dyDescent="0.3">
      <c r="A18" t="s">
        <v>26</v>
      </c>
      <c r="E18" s="4">
        <f>SUM(E12:E16)</f>
        <v>24999.554</v>
      </c>
    </row>
    <row r="19" spans="1:8" x14ac:dyDescent="0.3">
      <c r="A19" t="s">
        <v>27</v>
      </c>
      <c r="F19" s="4">
        <f>SUM(F12:F16)</f>
        <v>25004</v>
      </c>
    </row>
    <row r="20" spans="1:8" x14ac:dyDescent="0.3">
      <c r="A20" s="22" t="s">
        <v>155</v>
      </c>
      <c r="B20" s="22"/>
      <c r="C20" s="22"/>
      <c r="D20" s="22"/>
      <c r="E20" s="22"/>
      <c r="F20" s="22"/>
      <c r="G20" s="23">
        <f>SUM(G12:G16)</f>
        <v>50003.554000000004</v>
      </c>
    </row>
    <row r="21" spans="1:8" x14ac:dyDescent="0.3">
      <c r="G21" s="4"/>
    </row>
    <row r="22" spans="1:8" x14ac:dyDescent="0.3">
      <c r="A22" s="24" t="s">
        <v>17</v>
      </c>
      <c r="B22" s="24"/>
      <c r="C22" s="24"/>
      <c r="D22" s="24"/>
      <c r="E22" s="24"/>
      <c r="F22" s="24"/>
      <c r="G22" s="24"/>
      <c r="H22" s="24"/>
    </row>
    <row r="23" spans="1:8" x14ac:dyDescent="0.3">
      <c r="A23" s="13" t="s">
        <v>12</v>
      </c>
      <c r="B23" s="26" t="s">
        <v>156</v>
      </c>
      <c r="C23" s="26" t="s">
        <v>157</v>
      </c>
      <c r="D23" s="26" t="s">
        <v>158</v>
      </c>
      <c r="E23" s="26" t="s">
        <v>146</v>
      </c>
      <c r="F23" s="26" t="s">
        <v>147</v>
      </c>
      <c r="G23" s="26" t="s">
        <v>148</v>
      </c>
      <c r="H23" s="13" t="s">
        <v>11</v>
      </c>
    </row>
    <row r="24" spans="1:8" x14ac:dyDescent="0.3">
      <c r="A24" t="s">
        <v>159</v>
      </c>
      <c r="B24" s="1">
        <f>1000*1.15*12</f>
        <v>13800</v>
      </c>
      <c r="C24" s="27">
        <v>1</v>
      </c>
      <c r="D24" s="27">
        <v>1</v>
      </c>
      <c r="E24" s="4">
        <f>B24*C24</f>
        <v>13800</v>
      </c>
      <c r="F24" s="4">
        <f>B24*D24</f>
        <v>13800</v>
      </c>
      <c r="G24" s="4">
        <f>SUM(E24:F24)</f>
        <v>27600</v>
      </c>
      <c r="H24" t="s">
        <v>160</v>
      </c>
    </row>
    <row r="25" spans="1:8" x14ac:dyDescent="0.3">
      <c r="B25" s="1"/>
      <c r="H25" t="s">
        <v>161</v>
      </c>
    </row>
    <row r="26" spans="1:8" x14ac:dyDescent="0.3">
      <c r="A26" t="s">
        <v>26</v>
      </c>
      <c r="E26" s="4">
        <f>E24</f>
        <v>13800</v>
      </c>
      <c r="H26" s="48"/>
    </row>
    <row r="27" spans="1:8" x14ac:dyDescent="0.3">
      <c r="A27" t="s">
        <v>27</v>
      </c>
      <c r="F27" s="4">
        <f>F24</f>
        <v>13800</v>
      </c>
    </row>
    <row r="28" spans="1:8" x14ac:dyDescent="0.3">
      <c r="A28" s="22" t="s">
        <v>162</v>
      </c>
      <c r="B28" s="22"/>
      <c r="C28" s="22"/>
      <c r="D28" s="22"/>
      <c r="E28" s="22"/>
      <c r="F28" s="22"/>
      <c r="G28" s="23">
        <f>SUM(G24)</f>
        <v>27600</v>
      </c>
    </row>
    <row r="30" spans="1:8" x14ac:dyDescent="0.3">
      <c r="A30" s="24" t="s">
        <v>18</v>
      </c>
      <c r="B30" s="24"/>
      <c r="C30" s="24"/>
      <c r="D30" s="24"/>
      <c r="E30" s="24"/>
      <c r="F30" s="24"/>
      <c r="G30" s="24"/>
      <c r="H30" s="24"/>
    </row>
    <row r="31" spans="1:8" x14ac:dyDescent="0.3">
      <c r="A31" s="13" t="s">
        <v>12</v>
      </c>
      <c r="B31" s="26" t="s">
        <v>5</v>
      </c>
      <c r="C31" s="26" t="s">
        <v>163</v>
      </c>
      <c r="D31" s="26" t="s">
        <v>164</v>
      </c>
      <c r="E31" s="26" t="s">
        <v>146</v>
      </c>
      <c r="F31" s="26" t="s">
        <v>147</v>
      </c>
      <c r="G31" s="26" t="s">
        <v>148</v>
      </c>
      <c r="H31" s="13" t="s">
        <v>11</v>
      </c>
    </row>
    <row r="32" spans="1:8" x14ac:dyDescent="0.3">
      <c r="A32" s="48" t="s">
        <v>165</v>
      </c>
      <c r="B32" s="50">
        <f>'Public Health'!D6*0.8</f>
        <v>80000</v>
      </c>
      <c r="C32" s="52">
        <v>1</v>
      </c>
      <c r="D32" s="52">
        <v>1</v>
      </c>
      <c r="E32" s="51">
        <f>B32*C32</f>
        <v>80000</v>
      </c>
      <c r="F32" s="51">
        <f>B32*D32</f>
        <v>80000</v>
      </c>
      <c r="G32" s="51">
        <f>SUM(E32:F32)</f>
        <v>160000</v>
      </c>
    </row>
    <row r="33" spans="1:8" x14ac:dyDescent="0.3">
      <c r="A33" s="48" t="s">
        <v>166</v>
      </c>
      <c r="B33" s="50">
        <f>'Public Health'!D10</f>
        <v>40000</v>
      </c>
      <c r="C33" s="52">
        <v>1</v>
      </c>
      <c r="D33" s="52">
        <v>1</v>
      </c>
      <c r="E33" s="51">
        <f t="shared" ref="E33:E34" si="4">B33*C33</f>
        <v>40000</v>
      </c>
      <c r="F33" s="51">
        <f t="shared" ref="F33:F34" si="5">B33*D33</f>
        <v>40000</v>
      </c>
      <c r="G33" s="51">
        <f t="shared" ref="G33:G34" si="6">SUM(E33:F33)</f>
        <v>80000</v>
      </c>
    </row>
    <row r="34" spans="1:8" x14ac:dyDescent="0.3">
      <c r="A34" s="48" t="s">
        <v>167</v>
      </c>
      <c r="B34" s="50">
        <f>'Public Health'!D11</f>
        <v>20000</v>
      </c>
      <c r="C34" s="52">
        <v>1</v>
      </c>
      <c r="D34" s="52">
        <v>1</v>
      </c>
      <c r="E34" s="51">
        <f t="shared" si="4"/>
        <v>20000</v>
      </c>
      <c r="F34" s="51">
        <f t="shared" si="5"/>
        <v>20000</v>
      </c>
      <c r="G34" s="51">
        <f t="shared" si="6"/>
        <v>40000</v>
      </c>
    </row>
    <row r="35" spans="1:8" x14ac:dyDescent="0.3">
      <c r="B35" s="1"/>
    </row>
    <row r="36" spans="1:8" x14ac:dyDescent="0.3">
      <c r="A36" t="s">
        <v>26</v>
      </c>
      <c r="E36" s="4">
        <f>SUM(E32:E34)</f>
        <v>140000</v>
      </c>
    </row>
    <row r="37" spans="1:8" x14ac:dyDescent="0.3">
      <c r="A37" t="s">
        <v>27</v>
      </c>
      <c r="F37" s="4">
        <f>SUM(F32:F34)</f>
        <v>140000</v>
      </c>
    </row>
    <row r="38" spans="1:8" x14ac:dyDescent="0.3">
      <c r="A38" s="22" t="s">
        <v>168</v>
      </c>
      <c r="B38" s="22"/>
      <c r="C38" s="22"/>
      <c r="D38" s="22"/>
      <c r="E38" s="22"/>
      <c r="F38" s="22"/>
      <c r="G38" s="23">
        <f>SUM(G32:G34)</f>
        <v>280000</v>
      </c>
    </row>
    <row r="40" spans="1:8" x14ac:dyDescent="0.3">
      <c r="A40" s="24" t="s">
        <v>19</v>
      </c>
      <c r="B40" s="24"/>
      <c r="C40" s="24"/>
      <c r="D40" s="24"/>
      <c r="E40" s="24"/>
      <c r="F40" s="24"/>
      <c r="G40" s="24"/>
      <c r="H40" s="24"/>
    </row>
    <row r="41" spans="1:8" x14ac:dyDescent="0.3">
      <c r="A41" s="13" t="s">
        <v>12</v>
      </c>
      <c r="B41" s="26" t="s">
        <v>156</v>
      </c>
      <c r="C41" s="26" t="s">
        <v>157</v>
      </c>
      <c r="D41" s="26" t="s">
        <v>158</v>
      </c>
      <c r="E41" s="26" t="s">
        <v>146</v>
      </c>
      <c r="F41" s="26" t="s">
        <v>147</v>
      </c>
      <c r="G41" s="26" t="s">
        <v>148</v>
      </c>
      <c r="H41" s="13" t="s">
        <v>11</v>
      </c>
    </row>
    <row r="42" spans="1:8" x14ac:dyDescent="0.3">
      <c r="A42" t="s">
        <v>169</v>
      </c>
      <c r="B42" s="1">
        <f>100000*1.15</f>
        <v>114999.99999999999</v>
      </c>
      <c r="C42" s="27">
        <v>1</v>
      </c>
      <c r="D42" s="27">
        <v>1</v>
      </c>
      <c r="E42" s="4">
        <f>B42*C42</f>
        <v>114999.99999999999</v>
      </c>
      <c r="F42" s="4">
        <f>B42*D42</f>
        <v>114999.99999999999</v>
      </c>
      <c r="G42" s="4">
        <f>SUM(E42:F42)</f>
        <v>229999.99999999997</v>
      </c>
      <c r="H42" t="s">
        <v>170</v>
      </c>
    </row>
    <row r="43" spans="1:8" x14ac:dyDescent="0.3">
      <c r="B43" s="1"/>
      <c r="H43" t="s">
        <v>171</v>
      </c>
    </row>
    <row r="44" spans="1:8" x14ac:dyDescent="0.3">
      <c r="A44" t="s">
        <v>26</v>
      </c>
      <c r="E44" s="4">
        <f>E42</f>
        <v>114999.99999999999</v>
      </c>
      <c r="H44" s="48"/>
    </row>
    <row r="45" spans="1:8" x14ac:dyDescent="0.3">
      <c r="A45" t="s">
        <v>27</v>
      </c>
      <c r="F45" s="4">
        <f>F42</f>
        <v>114999.99999999999</v>
      </c>
    </row>
    <row r="46" spans="1:8" x14ac:dyDescent="0.3">
      <c r="A46" s="22" t="s">
        <v>172</v>
      </c>
      <c r="B46" s="22"/>
      <c r="C46" s="22"/>
      <c r="D46" s="22"/>
      <c r="E46" s="22"/>
      <c r="F46" s="22"/>
      <c r="G46" s="23">
        <f>SUM(G42)</f>
        <v>229999.99999999997</v>
      </c>
    </row>
    <row r="48" spans="1:8" x14ac:dyDescent="0.3">
      <c r="A48" s="83" t="s">
        <v>173</v>
      </c>
      <c r="B48" s="83"/>
      <c r="C48" s="83"/>
      <c r="D48" s="83"/>
      <c r="E48" s="83"/>
      <c r="F48" s="83"/>
      <c r="G48" s="83"/>
      <c r="H48" s="83"/>
    </row>
    <row r="49" spans="1:8" x14ac:dyDescent="0.3">
      <c r="A49" s="83"/>
      <c r="B49" s="83"/>
      <c r="C49" s="83"/>
      <c r="D49" s="83"/>
      <c r="E49" s="83"/>
      <c r="F49" s="83"/>
      <c r="G49" s="83"/>
      <c r="H49" s="83"/>
    </row>
    <row r="50" spans="1:8" x14ac:dyDescent="0.3">
      <c r="A50" s="83"/>
      <c r="B50" s="83"/>
      <c r="C50" s="83"/>
      <c r="D50" s="83"/>
      <c r="E50" s="83"/>
      <c r="F50" s="83"/>
      <c r="G50" s="83"/>
      <c r="H50" s="83"/>
    </row>
    <row r="51" spans="1:8" x14ac:dyDescent="0.3">
      <c r="A51" s="15" t="s">
        <v>174</v>
      </c>
    </row>
  </sheetData>
  <mergeCells count="2">
    <mergeCell ref="A9:H9"/>
    <mergeCell ref="A48:H5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932EAD547D39A448F70DFD1A9451210" ma:contentTypeVersion="" ma:contentTypeDescription="Create a new document." ma:contentTypeScope="" ma:versionID="5a673454ec172ecce642261c96f4a850">
  <xsd:schema xmlns:xsd="http://www.w3.org/2001/XMLSchema" xmlns:xs="http://www.w3.org/2001/XMLSchema" xmlns:p="http://schemas.microsoft.com/office/2006/metadata/properties" xmlns:ns2="fb74af13-32b2-4119-8e02-20c54814feab" xmlns:ns3="21478273-4f81-4aa2-a466-7405cc301cec" targetNamespace="http://schemas.microsoft.com/office/2006/metadata/properties" ma:root="true" ma:fieldsID="a78a582856e6b3ef4a3733230c93741b" ns2:_="" ns3:_="">
    <xsd:import namespace="fb74af13-32b2-4119-8e02-20c54814feab"/>
    <xsd:import namespace="21478273-4f81-4aa2-a466-7405cc301ce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4af13-32b2-4119-8e02-20c54814fea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478273-4f81-4aa2-a466-7405cc301ce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EFD93-A2FE-4D7B-BA0E-2D75ED9A7606}">
  <ds:schemaRefs>
    <ds:schemaRef ds:uri="http://schemas.microsoft.com/sharepoint/v3/contenttype/forms"/>
  </ds:schemaRefs>
</ds:datastoreItem>
</file>

<file path=customXml/itemProps2.xml><?xml version="1.0" encoding="utf-8"?>
<ds:datastoreItem xmlns:ds="http://schemas.openxmlformats.org/officeDocument/2006/customXml" ds:itemID="{009ED345-522F-40E8-9C28-FB84644F15E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703FE7D-1271-4BF7-89F4-67882F6BA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4af13-32b2-4119-8e02-20c54814feab"/>
    <ds:schemaRef ds:uri="21478273-4f81-4aa2-a466-7405cc301c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Total Costs</vt:lpstr>
      <vt:lpstr>Total Software Costs</vt:lpstr>
      <vt:lpstr>Software Roles</vt:lpstr>
      <vt:lpstr>Subscriptions</vt:lpstr>
      <vt:lpstr>Public Health</vt:lpstr>
      <vt:lpstr>Operations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Dipa Sharif</dc:creator>
  <cp:keywords/>
  <dc:description/>
  <cp:lastModifiedBy>Emily Clayton</cp:lastModifiedBy>
  <cp:revision/>
  <dcterms:created xsi:type="dcterms:W3CDTF">2019-10-16T22:26:34Z</dcterms:created>
  <dcterms:modified xsi:type="dcterms:W3CDTF">2019-12-02T18:43:40Z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0x010100D932EAD547D39A448F70DFD1A9451210</vt:lpwstr>
  </property>
</Properties>
</file>