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130"/>
  <workbookPr showInkAnnotation="0" autoCompressPictures="0"/>
  <mc:AlternateContent xmlns:mc="http://schemas.openxmlformats.org/markup-compatibility/2006">
    <mc:Choice Requires="x15">
      <x15ac:absPath xmlns:x15ac="http://schemas.microsoft.com/office/spreadsheetml/2010/11/ac" url="C:\Users\eclayton\Resonance\Commercial - OpenLMIS\3 - Deliverables\2019.11.22 - Final Deliverables\Market Research\"/>
    </mc:Choice>
  </mc:AlternateContent>
  <xr:revisionPtr revIDLastSave="16" documentId="11_CA1383C639EE9D26032AF13BDA1B90BBB033036C" xr6:coauthVersionLast="45" xr6:coauthVersionMax="45" xr10:uidLastSave="{E67007DF-135E-4F60-879D-B376773FEEF3}"/>
  <bookViews>
    <workbookView xWindow="-120" yWindow="-120" windowWidth="29040" windowHeight="15840" tabRatio="500" xr2:uid="{00000000-000D-0000-FFFF-FFFF00000000}"/>
  </bookViews>
  <sheets>
    <sheet name="Assumptions" sheetId="2" r:id="rId1"/>
    <sheet name="Market info" sheetId="1" r:id="rId2"/>
  </sheets>
  <definedNames>
    <definedName name="_xlnm._FilterDatabase" localSheetId="1" hidden="1">'Market info'!$B$2:$Y$16</definedName>
  </definedName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E10" i="2" l="1"/>
  <c r="U4" i="1" l="1"/>
  <c r="U5" i="1"/>
  <c r="U6" i="1"/>
  <c r="U7" i="1"/>
  <c r="U8" i="1"/>
  <c r="U9" i="1"/>
  <c r="U10" i="1"/>
  <c r="U11" i="1"/>
  <c r="U12" i="1"/>
  <c r="U13" i="1"/>
  <c r="U14" i="1"/>
  <c r="U15" i="1"/>
  <c r="U16" i="1"/>
  <c r="U3" i="1"/>
  <c r="T3" i="1"/>
  <c r="T4" i="1"/>
  <c r="T5" i="1"/>
  <c r="G35" i="1"/>
  <c r="J35" i="1"/>
  <c r="M35" i="1"/>
  <c r="R35" i="1"/>
  <c r="Q35" i="1"/>
  <c r="P35" i="1"/>
  <c r="O35" i="1"/>
  <c r="N35" i="1"/>
  <c r="N31" i="1"/>
  <c r="N30" i="1"/>
  <c r="L8" i="1"/>
  <c r="M8" i="1"/>
  <c r="R34" i="1"/>
  <c r="R36" i="1"/>
  <c r="Q34" i="1"/>
  <c r="Q36" i="1"/>
  <c r="P34" i="1"/>
  <c r="P36" i="1"/>
  <c r="O34" i="1"/>
  <c r="O10" i="1"/>
  <c r="O36" i="1"/>
  <c r="N34" i="1"/>
  <c r="N36" i="1"/>
  <c r="M34" i="1"/>
  <c r="M36" i="1"/>
  <c r="J34" i="1"/>
  <c r="J36" i="1"/>
  <c r="G34" i="1"/>
  <c r="G36" i="1"/>
  <c r="J37" i="1"/>
  <c r="L37" i="1"/>
  <c r="M37" i="1"/>
  <c r="N37" i="1"/>
  <c r="O37" i="1"/>
  <c r="P37" i="1"/>
  <c r="Q37" i="1"/>
  <c r="R37" i="1"/>
  <c r="G37" i="1"/>
  <c r="G30" i="1"/>
  <c r="R30" i="1"/>
  <c r="R31" i="1"/>
  <c r="R32" i="1"/>
  <c r="Q30" i="1"/>
  <c r="Q31" i="1"/>
  <c r="Q32" i="1"/>
  <c r="P30" i="1"/>
  <c r="P31" i="1"/>
  <c r="P32" i="1"/>
  <c r="O30" i="1"/>
  <c r="O31" i="1"/>
  <c r="O32" i="1"/>
  <c r="N32" i="1"/>
  <c r="M30" i="1"/>
  <c r="M31" i="1"/>
  <c r="M32" i="1"/>
  <c r="L30" i="1"/>
  <c r="L31" i="1"/>
  <c r="L32" i="1"/>
  <c r="J30" i="1"/>
  <c r="J31" i="1"/>
  <c r="J32" i="1"/>
  <c r="G31" i="1"/>
  <c r="G32" i="1"/>
  <c r="J33" i="1"/>
  <c r="L33" i="1"/>
  <c r="M33" i="1"/>
  <c r="N33" i="1"/>
  <c r="O33" i="1"/>
  <c r="P33" i="1"/>
  <c r="Q33" i="1"/>
  <c r="R33" i="1"/>
  <c r="G33" i="1"/>
  <c r="B34" i="1"/>
  <c r="B33" i="1"/>
  <c r="B30" i="1"/>
  <c r="B29" i="1"/>
  <c r="B28" i="1"/>
  <c r="B25" i="1"/>
  <c r="B26" i="1"/>
  <c r="B19" i="1"/>
  <c r="S15" i="1"/>
  <c r="T15" i="1"/>
  <c r="V15" i="1"/>
  <c r="S16" i="1"/>
  <c r="T16" i="1"/>
  <c r="V16" i="1"/>
  <c r="R29" i="1"/>
  <c r="R21" i="1"/>
  <c r="R19" i="1"/>
  <c r="R18" i="1"/>
  <c r="Q21" i="1"/>
  <c r="Q18" i="1"/>
  <c r="P21" i="1"/>
  <c r="P18" i="1"/>
  <c r="O21" i="1"/>
  <c r="O19" i="1"/>
  <c r="O18" i="1"/>
  <c r="N21" i="1"/>
  <c r="N19" i="1"/>
  <c r="N18" i="1"/>
  <c r="M21" i="1"/>
  <c r="M19" i="1"/>
  <c r="M18" i="1"/>
  <c r="L18" i="1"/>
  <c r="L19" i="1"/>
  <c r="L21" i="1"/>
  <c r="G19" i="1"/>
  <c r="G18" i="1"/>
  <c r="G21" i="1"/>
  <c r="J21" i="1"/>
  <c r="J19" i="1"/>
  <c r="J18" i="1"/>
  <c r="P19" i="1"/>
  <c r="Q19" i="1"/>
  <c r="P29" i="1"/>
  <c r="O29" i="1"/>
  <c r="N29" i="1"/>
  <c r="N22" i="1"/>
  <c r="M29" i="1"/>
  <c r="L29" i="1"/>
  <c r="J29" i="1"/>
  <c r="G29" i="1"/>
  <c r="J26" i="1"/>
  <c r="L26" i="1"/>
  <c r="M26" i="1"/>
  <c r="N26" i="1"/>
  <c r="O26" i="1"/>
  <c r="P26" i="1"/>
  <c r="Q26" i="1"/>
  <c r="R26" i="1"/>
  <c r="J27" i="1"/>
  <c r="L27" i="1"/>
  <c r="M27" i="1"/>
  <c r="N27" i="1"/>
  <c r="O27" i="1"/>
  <c r="P27" i="1"/>
  <c r="Q27" i="1"/>
  <c r="R27" i="1"/>
  <c r="J28" i="1"/>
  <c r="L28" i="1"/>
  <c r="M28" i="1"/>
  <c r="N28" i="1"/>
  <c r="O28" i="1"/>
  <c r="P28" i="1"/>
  <c r="Q28" i="1"/>
  <c r="R28" i="1"/>
  <c r="Q29" i="1"/>
  <c r="J22" i="1"/>
  <c r="L22" i="1"/>
  <c r="M22" i="1"/>
  <c r="O22" i="1"/>
  <c r="P22" i="1"/>
  <c r="Q22" i="1"/>
  <c r="R22" i="1"/>
  <c r="J23" i="1"/>
  <c r="L23" i="1"/>
  <c r="M23" i="1"/>
  <c r="N23" i="1"/>
  <c r="O23" i="1"/>
  <c r="P23" i="1"/>
  <c r="Q23" i="1"/>
  <c r="R23" i="1"/>
  <c r="J24" i="1"/>
  <c r="L24" i="1"/>
  <c r="M24" i="1"/>
  <c r="N24" i="1"/>
  <c r="O24" i="1"/>
  <c r="P24" i="1"/>
  <c r="Q24" i="1"/>
  <c r="R24" i="1"/>
  <c r="J25" i="1"/>
  <c r="L25" i="1"/>
  <c r="M25" i="1"/>
  <c r="N25" i="1"/>
  <c r="O25" i="1"/>
  <c r="P25" i="1"/>
  <c r="Q25" i="1"/>
  <c r="R25" i="1"/>
  <c r="G27" i="1"/>
  <c r="G26" i="1"/>
  <c r="G28" i="1"/>
  <c r="G25" i="1"/>
  <c r="G22" i="1"/>
  <c r="G23" i="1"/>
  <c r="G24" i="1"/>
  <c r="R20" i="1"/>
  <c r="N20" i="1"/>
  <c r="O20" i="1"/>
  <c r="P20" i="1"/>
  <c r="Q20" i="1"/>
  <c r="J20" i="1"/>
  <c r="L20" i="1"/>
  <c r="M20" i="1"/>
  <c r="G20" i="1"/>
  <c r="B31" i="1"/>
  <c r="S14" i="1"/>
  <c r="T14" i="1"/>
  <c r="V14" i="1"/>
  <c r="S8" i="1"/>
  <c r="T8" i="1"/>
  <c r="V8" i="1"/>
  <c r="S9" i="1"/>
  <c r="T9" i="1"/>
  <c r="V9" i="1"/>
  <c r="S10" i="1"/>
  <c r="T10" i="1"/>
  <c r="V10" i="1"/>
  <c r="S11" i="1"/>
  <c r="T11" i="1"/>
  <c r="V11" i="1"/>
  <c r="T12" i="1"/>
  <c r="S12" i="1"/>
  <c r="V12" i="1"/>
  <c r="T13" i="1"/>
  <c r="S13" i="1"/>
  <c r="V13" i="1"/>
  <c r="S6" i="1"/>
  <c r="T6" i="1"/>
  <c r="V6" i="1"/>
  <c r="T7" i="1"/>
  <c r="S7" i="1"/>
  <c r="V7" i="1"/>
  <c r="S3" i="1"/>
  <c r="V3" i="1"/>
  <c r="S4" i="1"/>
  <c r="V4" i="1"/>
  <c r="S5" i="1"/>
  <c r="V5" i="1"/>
  <c r="F10" i="2"/>
  <c r="D10" i="2"/>
</calcChain>
</file>

<file path=xl/sharedStrings.xml><?xml version="1.0" encoding="utf-8"?>
<sst xmlns="http://schemas.openxmlformats.org/spreadsheetml/2006/main" count="233" uniqueCount="132">
  <si>
    <t>Country</t>
  </si>
  <si>
    <t>Population</t>
  </si>
  <si>
    <t>Market opportunities/ growth indicators</t>
  </si>
  <si>
    <t>Nigeria</t>
  </si>
  <si>
    <t>Kenya</t>
  </si>
  <si>
    <t>Ghana</t>
  </si>
  <si>
    <t>Nascent</t>
  </si>
  <si>
    <t>no</t>
  </si>
  <si>
    <t>Malawi</t>
  </si>
  <si>
    <t>yes</t>
  </si>
  <si>
    <t>Zimbabwe</t>
  </si>
  <si>
    <t>Tanzania</t>
  </si>
  <si>
    <t>Emerging</t>
  </si>
  <si>
    <t>Senegal</t>
  </si>
  <si>
    <t>https://www.shopsplusproject.org/sites/default/files/resources/Senegal%20Private%20Health%20Sector%20Assessment_Selected%20Products%20and%20Services.pdf</t>
  </si>
  <si>
    <t>Rwanda</t>
  </si>
  <si>
    <t>Cambodia</t>
  </si>
  <si>
    <t>Bangladesh</t>
  </si>
  <si>
    <t>https://www.shopsplusproject.org/sites/default/files/resources/Botswana%20PSA_22May2014_FINAL.pdf</t>
  </si>
  <si>
    <t>Country Segment</t>
  </si>
  <si>
    <t>Country Income Group</t>
  </si>
  <si>
    <t>OpenLMIS Country</t>
  </si>
  <si>
    <t>Private Hospitals</t>
  </si>
  <si>
    <t>GDP (USD)</t>
  </si>
  <si>
    <t>Private Clinics</t>
  </si>
  <si>
    <t>Private Pharmacies</t>
  </si>
  <si>
    <t>http://ncuwash.org/newfour/wp-content/uploads/2017/08/Zimbabwe-Service-Availability-and-Readiness-Assessment-Report.pdf
https://www.who.int/medicines/areas/coordination/Zimbabwe_PSCPNarrativeQuestionnaire_27052011.pdf?ua=1</t>
  </si>
  <si>
    <t xml:space="preserve">https://dhsprogram.com/pubs/pdf/SPA23/SPA23.pdf
https://www.business-sweden.se/contentassets/885d15e5a480462d8d21101927d57956/151127-bangladesh-healthcare-study-pa13_online.pdf
</t>
  </si>
  <si>
    <t>Botswana</t>
  </si>
  <si>
    <t xml:space="preserve">Data sources </t>
  </si>
  <si>
    <t>&gt;&gt;&gt;</t>
  </si>
  <si>
    <t>% of private health facilities that will become OLMIS customers</t>
  </si>
  <si>
    <t>Uganda</t>
  </si>
  <si>
    <t>lower-middle</t>
  </si>
  <si>
    <t>low</t>
  </si>
  <si>
    <t>upper-middle</t>
  </si>
  <si>
    <t>Population category</t>
  </si>
  <si>
    <t>Large (&gt;50 million)</t>
  </si>
  <si>
    <t>Medium (20-50 million)</t>
  </si>
  <si>
    <t>Small (&lt; 20 million)</t>
  </si>
  <si>
    <t>GDP Category</t>
  </si>
  <si>
    <t>Large (&gt; $50 billion)</t>
  </si>
  <si>
    <t>Medium ($20-$50 billion)</t>
  </si>
  <si>
    <t>Small (&lt; $20 billion)</t>
  </si>
  <si>
    <t>Notes/ Recommendations</t>
  </si>
  <si>
    <t>Nepal</t>
  </si>
  <si>
    <t>Zambia</t>
  </si>
  <si>
    <t>Market growth assumptions</t>
  </si>
  <si>
    <t>Clinics</t>
  </si>
  <si>
    <t>Hospitals</t>
  </si>
  <si>
    <t>Pharma Retailers</t>
  </si>
  <si>
    <t>Facilities per customer assumptions</t>
  </si>
  <si>
    <t>Private Health Sector Overview</t>
  </si>
  <si>
    <t>Country Profile</t>
  </si>
  <si>
    <t>projected annual growth of private health spending: 5% from 2018-2023. 
opportunity to capture market of wealthy Nigerians that leave country for health tourism ($1.6 billion spend per year) + steep population growth + emerging middle class seeking quality care + changing epidemiological trends (e.g. rise of non-communicable diseases) + enabling policy environment</t>
  </si>
  <si>
    <t>OpenLMIS Market Share Predictions</t>
  </si>
  <si>
    <t>https://www.pharmaccess.org/wp-content/uploads/2018/01/The-healthcare-system-in-Ghana.pdf
https://www.ncbi.nlm.nih.gov/pmc/articles/PMC6689714/</t>
  </si>
  <si>
    <t xml:space="preserve">OLMIS can continue to identify new customers going forward and increase private sector market share </t>
  </si>
  <si>
    <t>OLMIS Customers - Clinics</t>
  </si>
  <si>
    <t>OLMIS Customers - Hospitals</t>
  </si>
  <si>
    <t>OLMIS Customers - Pharma Retailers</t>
  </si>
  <si>
    <t>Notes on private sector role &amp; ICT use</t>
  </si>
  <si>
    <t>Private sector healthcare expenditure (% of total)</t>
  </si>
  <si>
    <t xml:space="preserve">http://www.health.gov.mw/index.php/2016-01-06-19-58-23/national-aids
https://www.ncbi.nlm.nih.gov/pmc/articles/PMC6018651/
</t>
  </si>
  <si>
    <t>73% hospitals in the country operated by private companies. Not all private sector facilities are captured by government data so number is only an approximation; in a 2014 report on 6 Nigerian states,  32%  of private health facilities found by surveyors were not included in official government lists, while 53% of the private health facilities included in official government lists could not be found by surveyors. Many small primary clinics, hospitals and pharmacies exist. Secondary health facilities are predominantly privately owned. The ratio of public to private health facilities is much higher in the northern part of the country than in the southern part. Products are imported and distributed through two main distributors, which are licensed to sell only to registered pharmacies, hospitals, and other institutions. However, just 4,500 out of 80,000 retailers are registered pharmacies, and more than 70 percent of revenue potential lies in unregistered and informal outlets served by some 200 wholesalers.</t>
  </si>
  <si>
    <t>https://www.academia.edu/35791749/Nigerias_Private_Healthcare_Market_-_A_Potential_Market_Entry_by_Life_Hospital_Group
https://www.medicwestafrica.com/content/dam/Informa/medic-west-africa/english/2019/HealthcareInsights.pdf
https://oxfordbusinessgroup.com/overview/fulfilling-promise-rising-incomes-youth-boom-and-mature-law-provide-means-cooperation-sector-growth
https://www.mckinsey.com/industries/pharmaceuticals-and-medical-products/our-insights/winning-in-nigeria-pharmas-next-frontier
https://www.shopsplusproject.org/sites/default/files/resources/SHOPS%20Nigeria%20Private%20Sector%20Health%20Census_6.15.2014%20FINAL.pdf</t>
  </si>
  <si>
    <t>OLMIS Customers - All facilities</t>
  </si>
  <si>
    <t xml:space="preserve"> enabling policy environment with full eHealth strategy + emerging middle class seeking quality care + changing epidemiological trends (e.g. rise in non-communicable diseases). Growth was projected at over 10% through 2019. </t>
  </si>
  <si>
    <t xml:space="preserve">47% of the poorest quintile of Kenyans seek care in the private (commercial) sector, 66% of money spent in hospitals. Two-thirds  of  the  money  spent  in  the  private  sector  is  on  health  services  rendered  in hospitals. Private sector owns and manages almost 2/3 of all Kenya’s health facilities.
 and is the largest employer of healthcare professionals. Kenya  is a leader in innovative ICT solutions for the health sector. </t>
  </si>
  <si>
    <t>https://www.business-sweden.se/contentassets/a2d25a40553f4d84b9b238312e6e96b8/healthcare-sector-in-kenya---2017.pdf
https://www.rvo.nl/sites/default/files/2016/10/2016_Kenyan_Healthcare_Sector_Report_Compleet.pdf
https://www.pharmaccess.org/wp-content/uploads/2018/01/The-healthcare-system-in-Kenya.pdf
https://www.ncbi.nlm.nih.gov/pmc/articles/PMC5737189/</t>
  </si>
  <si>
    <t>Ghana is a leader in innovative ICT solutions for the health sector</t>
  </si>
  <si>
    <t xml:space="preserve"> enabling policy environment + emerging middle class seeking quality care + changing epidemiological trends (e.g. rise in non-communicable diseases)</t>
  </si>
  <si>
    <t>Small but growing PFP sector + PNFP sector comprised of religious institutions, NGOs, statutory corporations and companies. Christian Health Association of Malawi (CHAM)  provides ~29% of all health services. Government, through the ministry of health (MOH), enters into different service level agreements with the PNFP sector to provide essential services in rural and remote areas.</t>
  </si>
  <si>
    <t xml:space="preserve">72% of private facilities located in Dakar. 87% pharmacies are for-profit, 53% in Dakar. Several supply chain ICT initiatives Supply chain, including IntraHealth’s SEDA Automated Health Data Exchange System (mobile tool), MSAS mobile data collection, and numerous eHealth and mHealth initiatives. </t>
  </si>
  <si>
    <t xml:space="preserve">http://moh.gov.rw/fileadmin/templates/Docs/FINALH_2-1.pdf
https://www.msh.org/sites/msh.org/files/rwanda_health_pse_assessment_public_report_final.pdf
</t>
  </si>
  <si>
    <t>Government interest in private health growth</t>
  </si>
  <si>
    <t>Private health sector in Rwanda is relatively small and fragmented, based primarily in Kigali. For-profit hospitals concentrated in urban centers, nonprofit hospitals focus on rural/ underserved areas</t>
  </si>
  <si>
    <t>Pop. growth rate</t>
  </si>
  <si>
    <t>Most sick and injured people use private health facilities, which have sprouted quickly in the past decades, as their point of first contact.</t>
  </si>
  <si>
    <t xml:space="preserve">https://apps.who.int/iris/bitstream/handle/10665/208213/9789290616917_eng.pdf?sequence=1
https://www.pharmed-expo.com/cambodia/news/healthcare-resource-guide-cambodia-1-25.html
</t>
  </si>
  <si>
    <t>Private players are concentrated on delivering healthcare in developed areas. 52% of hospital beds are in private sector facilities. Over 90% of the pharmaceutical market is
controlled by local firms. Most retail drug shops staff do not have adequate training to diagnose or treat illness.</t>
  </si>
  <si>
    <t>health system remains dominated by the public sector, private sector expansion limited by population size</t>
  </si>
  <si>
    <t>https://dhsprogram.com/pubs/pdf/SPA24/SPA24.pdf
http://health.bmz.de/ghpc/case-studies/digitalising_nepals_health_sector/GHPC_NEPAL_DIGI_FINAL_WEB__.pdf
https://apps.who.int/iris/bitstream/handle/10665/274871/2017-Nepal-pharm-profile.pdf?sequence=1&amp;isAllowed=y</t>
  </si>
  <si>
    <t>% Health facilities that are private</t>
  </si>
  <si>
    <t>https://www.swecare.se/Portals/swecare/Documents/Report-on-the-Health-Care-Sector-and-Business-Opportunities-in-Zambia.pdf
https://www.researchgate.net/publication/331502621_Training_of_pharmacists_in_Zambia_Developments_curriculum_structure_and_future_perspectives</t>
  </si>
  <si>
    <t>Regions</t>
  </si>
  <si>
    <t>N (sampled countries)</t>
  </si>
  <si>
    <t>Country Segment (Resonance Research)</t>
  </si>
  <si>
    <t>Sub-Saharan Africa</t>
  </si>
  <si>
    <t>South Asia</t>
  </si>
  <si>
    <t>East Asia</t>
  </si>
  <si>
    <t xml:space="preserve">Income Group </t>
  </si>
  <si>
    <t>middle (total)</t>
  </si>
  <si>
    <t>OLMIS Country</t>
  </si>
  <si>
    <t>SAMPLE SUMMARY</t>
  </si>
  <si>
    <t>Max</t>
  </si>
  <si>
    <t>Min</t>
  </si>
  <si>
    <t>Avg</t>
  </si>
  <si>
    <t>Total healthcare expenditure (USD)</t>
  </si>
  <si>
    <t>Private sector healthcare expenditure (USD)</t>
  </si>
  <si>
    <t>Range</t>
  </si>
  <si>
    <t>ALL</t>
  </si>
  <si>
    <t>NASCENT</t>
  </si>
  <si>
    <t>EMERGING</t>
  </si>
  <si>
    <t>https://www.globalfinancingfacility.org/sites/gff_new/files/Uganda-Private-Sector-Assessment-health.pdf
https://banyanglobal.com/wp-content/uploads/2017/07/Ugandas-Private-Health-Sector-Opportunities-for-Growth.pdf</t>
  </si>
  <si>
    <t>LOW-INCOME</t>
  </si>
  <si>
    <t>MIDDLE-INCOME</t>
  </si>
  <si>
    <t>Low or Middle</t>
  </si>
  <si>
    <t>middle</t>
  </si>
  <si>
    <t xml:space="preserve">OLMIS can be sold at a price that nearly all for-profit and non-profit customers are willing/able to pay </t>
  </si>
  <si>
    <t>Private pharma market predicted to grow by 28% by 2021</t>
  </si>
  <si>
    <t>https://www.shopsplusproject.org/sites/default/files/resources/Tanzania%20Private%20Sector%20Assessment%202.pdf
https://journals.plos.org/plosone/article?id=10.1371/journal.pone.0220701#sec005</t>
  </si>
  <si>
    <t>Calculation</t>
  </si>
  <si>
    <t>Channel partners in these countries will effectively pitch to ~100% of potential OpenLMIS customers (networks that need a supply chain management solution)</t>
  </si>
  <si>
    <t>Product/ marketing assumptions</t>
  </si>
  <si>
    <t>Average # of facilities per network</t>
  </si>
  <si>
    <t>Private health networks that adopt OpenLMIS will likely be small but growing, but could have any number of facilities</t>
  </si>
  <si>
    <t>+</t>
  </si>
  <si>
    <t>For potential customers, OpenLMIS is a credible, effectives tool that is likely to beat out competition (&gt;50% will choose to buy)</t>
  </si>
  <si>
    <t>% of potential  customers that will choose OpenLMIS</t>
  </si>
  <si>
    <t>% of potential OpenLMIS customers that can be reached by marketing/sales strategy</t>
  </si>
  <si>
    <t>% of private health facilities that operate as network</t>
  </si>
  <si>
    <t>Potential customer assumptions</t>
  </si>
  <si>
    <t>OpenLMIS customers will be private health provider networks</t>
  </si>
  <si>
    <t>% of networks that need a supply chain solution</t>
  </si>
  <si>
    <t>% of potential OpenLMIS  customers that can afford OpenLMIS</t>
  </si>
  <si>
    <r>
      <t xml:space="preserve">KEY
</t>
    </r>
    <r>
      <rPr>
        <sz val="12"/>
        <color theme="1"/>
        <rFont val="Calibri"/>
        <family val="2"/>
        <scheme val="minor"/>
      </rPr>
      <t>regular = latest available data (typically 2013 or later)</t>
    </r>
    <r>
      <rPr>
        <b/>
        <sz val="12"/>
        <color theme="1"/>
        <rFont val="Calibri"/>
        <family val="2"/>
        <scheme val="minor"/>
      </rPr>
      <t xml:space="preserve">
</t>
    </r>
    <r>
      <rPr>
        <i/>
        <sz val="12"/>
        <color theme="1"/>
        <rFont val="Calibri"/>
        <family val="2"/>
        <scheme val="minor"/>
      </rPr>
      <t xml:space="preserve">italics = </t>
    </r>
    <r>
      <rPr>
        <sz val="12"/>
        <color theme="1"/>
        <rFont val="Calibri"/>
        <family val="2"/>
        <scheme val="minor"/>
      </rPr>
      <t>best e</t>
    </r>
    <r>
      <rPr>
        <sz val="12"/>
        <color theme="1"/>
        <rFont val="Calibri"/>
        <family val="2"/>
        <scheme val="minor"/>
      </rPr>
      <t>stimate based on available sources</t>
    </r>
  </si>
  <si>
    <t xml:space="preserve">Some private health provider networks already have sufficient supply chain management solutions </t>
  </si>
  <si>
    <t>Private health markets in LMICs will continue to grow and trend towards digitization/ automation of supply chains</t>
  </si>
  <si>
    <t xml:space="preserve">The majority of the private health sector (76%) is composed of facilities providing wide variety of outpatient services, 12% are "mini hospitals" with inpatient care and surgical capabilities. Most private clinics are around urban areas 
</t>
  </si>
  <si>
    <t xml:space="preserve">MoH provides 50% of the total healthcare expenditure in the public healthcare sector, with local authorities, mission churches, industrial
organizations and private services funding the remaining 50% of healthcare spending. </t>
  </si>
  <si>
    <t>private sector offers 2/3 of all hospital beds in Nepal and 60% of Nepal’s doctors work in private sector. Private providers mainly located in urban areas and used predominantly by wealthier patients. In rural areas, pharmacies (mostly private) are the chief private providers, mostly used by poor patients. The Government allocates budget to national scale-up of DHIS, OpenLMIS, and other digital health initiatives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</si>
</sst>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quot;€&quot;* #,##0.00_-;\-&quot;€&quot;* #,##0.00_-;_-&quot;€&quot;* &quot;-&quot;??_-;_-@_-"/>
    <numFmt numFmtId="165" formatCode="_-* #,##0.00_-;\-* #,##0.00_-;_-* &quot;-&quot;??_-;_-@_-"/>
    <numFmt numFmtId="166" formatCode="0.0%"/>
    <numFmt numFmtId="167" formatCode="0;[Red]0"/>
    <numFmt numFmtId="168" formatCode="_-* #,##0_-;\-* #,##0_-;_-* &quot;-&quot;??_-;_-@_-"/>
    <numFmt numFmtId="169" formatCode="_-[$$-409]* #,##0.00_ ;_-[$$-409]* \-#,##0.00\ ;_-[$$-409]* &quot;-&quot;??_ ;_-@_ "/>
  </numFmts>
  <fonts count="14" x14ac:knownFonts="1">
    <font>
      <sz val="12"/>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sz val="12"/>
      <color rgb="FF000000"/>
      <name val="Calibri"/>
      <family val="2"/>
      <scheme val="minor"/>
    </font>
    <font>
      <sz val="11"/>
      <color theme="1"/>
      <name val="Calibri"/>
      <family val="2"/>
      <scheme val="minor"/>
    </font>
    <font>
      <sz val="12"/>
      <name val="Calibri"/>
      <family val="2"/>
      <scheme val="minor"/>
    </font>
    <font>
      <i/>
      <sz val="12"/>
      <color theme="1"/>
      <name val="Calibri"/>
      <family val="2"/>
      <scheme val="minor"/>
    </font>
    <font>
      <b/>
      <sz val="12"/>
      <color rgb="FF000000"/>
      <name val="Calibri"/>
      <family val="2"/>
      <scheme val="minor"/>
    </font>
    <font>
      <b/>
      <sz val="12"/>
      <name val="Calibri"/>
      <family val="2"/>
      <scheme val="minor"/>
    </font>
    <font>
      <i/>
      <sz val="12"/>
      <color rgb="FF000000"/>
      <name val="Calibri"/>
      <family val="2"/>
      <scheme val="minor"/>
    </font>
    <font>
      <b/>
      <sz val="16"/>
      <color rgb="FF333333"/>
      <name val="Georgia"/>
      <family val="1"/>
    </font>
  </fonts>
  <fills count="6">
    <fill>
      <patternFill patternType="none"/>
    </fill>
    <fill>
      <patternFill patternType="gray125"/>
    </fill>
    <fill>
      <patternFill patternType="solid">
        <fgColor theme="3" tint="0.59999389629810485"/>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7" tint="0.59999389629810485"/>
        <bgColor indexed="64"/>
      </patternFill>
    </fill>
  </fills>
  <borders count="19">
    <border>
      <left/>
      <right/>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style="medium">
        <color auto="1"/>
      </bottom>
      <diagonal/>
    </border>
    <border>
      <left style="medium">
        <color auto="1"/>
      </left>
      <right/>
      <top/>
      <bottom/>
      <diagonal/>
    </border>
    <border>
      <left/>
      <right style="medium">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111">
    <xf numFmtId="0" fontId="0" fillId="0" borderId="0"/>
    <xf numFmtId="9" fontId="2"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cellStyleXfs>
  <cellXfs count="133">
    <xf numFmtId="0" fontId="0" fillId="0" borderId="0" xfId="0"/>
    <xf numFmtId="0" fontId="3" fillId="0" borderId="0" xfId="0" applyFont="1" applyAlignment="1">
      <alignment wrapText="1"/>
    </xf>
    <xf numFmtId="0" fontId="0" fillId="0" borderId="0" xfId="0" applyAlignment="1">
      <alignment wrapText="1"/>
    </xf>
    <xf numFmtId="166" fontId="0" fillId="0" borderId="0" xfId="1" applyNumberFormat="1" applyFont="1" applyAlignment="1">
      <alignment wrapText="1"/>
    </xf>
    <xf numFmtId="0" fontId="3" fillId="0" borderId="0" xfId="0" applyFont="1" applyAlignment="1"/>
    <xf numFmtId="0" fontId="0" fillId="0" borderId="0" xfId="0" applyFont="1" applyAlignment="1"/>
    <xf numFmtId="0" fontId="0" fillId="0" borderId="0" xfId="0" applyAlignment="1"/>
    <xf numFmtId="0" fontId="4" fillId="0" borderId="0" xfId="4" applyFont="1" applyBorder="1" applyAlignment="1"/>
    <xf numFmtId="9" fontId="0" fillId="0" borderId="0" xfId="0" applyNumberFormat="1" applyFont="1" applyAlignment="1">
      <alignment wrapText="1"/>
    </xf>
    <xf numFmtId="9" fontId="0" fillId="0" borderId="0" xfId="0" applyNumberFormat="1" applyAlignment="1">
      <alignment wrapText="1"/>
    </xf>
    <xf numFmtId="9" fontId="0" fillId="0" borderId="0" xfId="1" applyFont="1" applyAlignment="1">
      <alignment wrapText="1"/>
    </xf>
    <xf numFmtId="166" fontId="3" fillId="0" borderId="0" xfId="1" applyNumberFormat="1" applyFont="1" applyAlignment="1">
      <alignment wrapText="1"/>
    </xf>
    <xf numFmtId="10" fontId="0" fillId="0" borderId="0" xfId="1" applyNumberFormat="1" applyFont="1" applyAlignment="1">
      <alignment wrapText="1"/>
    </xf>
    <xf numFmtId="9" fontId="3" fillId="0" borderId="0" xfId="1" applyFont="1" applyAlignment="1">
      <alignment wrapText="1"/>
    </xf>
    <xf numFmtId="9" fontId="3" fillId="0" borderId="0" xfId="0" applyNumberFormat="1" applyFont="1" applyAlignment="1">
      <alignment wrapText="1"/>
    </xf>
    <xf numFmtId="10" fontId="3" fillId="0" borderId="0" xfId="1" applyNumberFormat="1" applyFont="1" applyAlignment="1">
      <alignment wrapText="1"/>
    </xf>
    <xf numFmtId="0" fontId="3" fillId="4" borderId="0" xfId="0" applyFont="1" applyFill="1" applyAlignment="1">
      <alignment horizontal="center"/>
    </xf>
    <xf numFmtId="0" fontId="3" fillId="0" borderId="0" xfId="0" applyFont="1" applyFill="1"/>
    <xf numFmtId="0" fontId="3" fillId="5" borderId="0" xfId="0" applyFont="1" applyFill="1" applyAlignment="1">
      <alignment horizontal="center"/>
    </xf>
    <xf numFmtId="0" fontId="0" fillId="0" borderId="4" xfId="0" applyBorder="1" applyAlignment="1">
      <alignment wrapText="1"/>
    </xf>
    <xf numFmtId="0" fontId="4" fillId="0" borderId="0" xfId="4" applyFont="1" applyAlignment="1">
      <alignment vertical="top"/>
    </xf>
    <xf numFmtId="0" fontId="4" fillId="0" borderId="0" xfId="4" applyFont="1" applyAlignment="1"/>
    <xf numFmtId="0" fontId="6" fillId="0" borderId="0" xfId="0" applyFont="1" applyAlignment="1"/>
    <xf numFmtId="166" fontId="0" fillId="0" borderId="0" xfId="0" applyNumberFormat="1" applyFont="1" applyAlignment="1"/>
    <xf numFmtId="9" fontId="0" fillId="0" borderId="0" xfId="1" applyFont="1" applyAlignment="1"/>
    <xf numFmtId="0" fontId="9" fillId="0" borderId="0" xfId="0" applyFont="1" applyAlignment="1"/>
    <xf numFmtId="0" fontId="8" fillId="0" borderId="0" xfId="0" applyFont="1" applyBorder="1" applyAlignment="1"/>
    <xf numFmtId="0" fontId="6" fillId="0" borderId="0" xfId="0" applyFont="1" applyBorder="1" applyAlignment="1"/>
    <xf numFmtId="166" fontId="0" fillId="0" borderId="0" xfId="1" applyNumberFormat="1" applyFont="1" applyAlignment="1"/>
    <xf numFmtId="167" fontId="0" fillId="0" borderId="0" xfId="0" applyNumberFormat="1" applyFont="1" applyAlignment="1"/>
    <xf numFmtId="0" fontId="6" fillId="0" borderId="0" xfId="0" applyFont="1" applyFill="1" applyBorder="1" applyAlignment="1"/>
    <xf numFmtId="0" fontId="8" fillId="0" borderId="0" xfId="0" applyFont="1" applyFill="1" applyBorder="1" applyAlignment="1"/>
    <xf numFmtId="0" fontId="0" fillId="0" borderId="0" xfId="0" applyFont="1" applyAlignment="1">
      <alignment wrapText="1"/>
    </xf>
    <xf numFmtId="9" fontId="0" fillId="0" borderId="0" xfId="0" applyNumberFormat="1" applyFont="1" applyAlignment="1"/>
    <xf numFmtId="165" fontId="0" fillId="0" borderId="0" xfId="46" applyFont="1" applyAlignment="1"/>
    <xf numFmtId="168" fontId="0" fillId="0" borderId="0" xfId="46" applyNumberFormat="1" applyFont="1" applyAlignment="1"/>
    <xf numFmtId="0" fontId="4" fillId="0" borderId="0" xfId="4" applyAlignment="1"/>
    <xf numFmtId="9" fontId="9" fillId="0" borderId="0" xfId="0" applyNumberFormat="1" applyFont="1" applyAlignment="1"/>
    <xf numFmtId="1" fontId="0" fillId="0" borderId="0" xfId="0" applyNumberFormat="1" applyFont="1" applyAlignment="1"/>
    <xf numFmtId="0" fontId="0" fillId="0" borderId="0" xfId="0" applyFont="1"/>
    <xf numFmtId="10" fontId="0" fillId="0" borderId="0" xfId="0" applyNumberFormat="1" applyFont="1" applyAlignment="1"/>
    <xf numFmtId="49" fontId="0" fillId="0" borderId="0" xfId="0" applyNumberFormat="1" applyFont="1" applyAlignment="1"/>
    <xf numFmtId="49" fontId="0" fillId="0" borderId="0" xfId="0" applyNumberFormat="1" applyFont="1" applyFill="1" applyAlignment="1"/>
    <xf numFmtId="49" fontId="6" fillId="0" borderId="0" xfId="0" applyNumberFormat="1" applyFont="1" applyFill="1" applyBorder="1" applyAlignment="1"/>
    <xf numFmtId="0" fontId="3" fillId="0" borderId="1" xfId="0" applyFont="1" applyBorder="1" applyAlignment="1"/>
    <xf numFmtId="0" fontId="7" fillId="0" borderId="2" xfId="0" applyFont="1" applyBorder="1" applyAlignment="1"/>
    <xf numFmtId="0" fontId="3" fillId="0" borderId="6" xfId="0" applyFont="1" applyBorder="1" applyAlignment="1">
      <alignment wrapText="1"/>
    </xf>
    <xf numFmtId="0" fontId="0" fillId="0" borderId="7" xfId="0" applyBorder="1" applyAlignment="1">
      <alignment wrapText="1"/>
    </xf>
    <xf numFmtId="0" fontId="0" fillId="0" borderId="6" xfId="0" applyFont="1" applyBorder="1" applyAlignment="1">
      <alignment wrapText="1"/>
    </xf>
    <xf numFmtId="0" fontId="3" fillId="0" borderId="6" xfId="0" applyFont="1" applyBorder="1" applyAlignment="1"/>
    <xf numFmtId="0" fontId="0" fillId="0" borderId="6" xfId="0" applyBorder="1" applyAlignment="1">
      <alignment wrapText="1"/>
    </xf>
    <xf numFmtId="0" fontId="7" fillId="0" borderId="7" xfId="0" applyFont="1" applyBorder="1" applyAlignment="1">
      <alignment wrapText="1"/>
    </xf>
    <xf numFmtId="0" fontId="3" fillId="0" borderId="6" xfId="0" applyFont="1" applyFill="1" applyBorder="1" applyAlignment="1">
      <alignment wrapText="1"/>
    </xf>
    <xf numFmtId="0" fontId="0" fillId="0" borderId="6" xfId="0" applyFill="1" applyBorder="1" applyAlignment="1">
      <alignment wrapText="1"/>
    </xf>
    <xf numFmtId="0" fontId="0" fillId="0" borderId="3" xfId="0" applyFill="1" applyBorder="1" applyAlignment="1">
      <alignment wrapText="1"/>
    </xf>
    <xf numFmtId="168" fontId="0" fillId="0" borderId="0" xfId="0" applyNumberFormat="1" applyFont="1" applyAlignment="1"/>
    <xf numFmtId="168" fontId="6" fillId="0" borderId="0" xfId="46" applyNumberFormat="1" applyFont="1" applyFill="1" applyBorder="1" applyAlignment="1"/>
    <xf numFmtId="169" fontId="0" fillId="0" borderId="0" xfId="46" applyNumberFormat="1" applyFont="1" applyAlignment="1"/>
    <xf numFmtId="168" fontId="0" fillId="0" borderId="8" xfId="46" applyNumberFormat="1" applyFont="1" applyBorder="1" applyAlignment="1"/>
    <xf numFmtId="168" fontId="0" fillId="0" borderId="9" xfId="0" applyNumberFormat="1" applyFont="1" applyBorder="1" applyAlignment="1"/>
    <xf numFmtId="168" fontId="0" fillId="0" borderId="10" xfId="46" applyNumberFormat="1" applyFont="1" applyBorder="1" applyAlignment="1"/>
    <xf numFmtId="168" fontId="0" fillId="0" borderId="9" xfId="46" applyNumberFormat="1" applyFont="1" applyBorder="1" applyAlignment="1"/>
    <xf numFmtId="0" fontId="10" fillId="0" borderId="8" xfId="0" applyFont="1" applyBorder="1" applyAlignment="1"/>
    <xf numFmtId="0" fontId="10" fillId="0" borderId="9" xfId="0" applyFont="1" applyBorder="1" applyAlignment="1"/>
    <xf numFmtId="0" fontId="10" fillId="0" borderId="10" xfId="0" applyFont="1" applyBorder="1" applyAlignment="1"/>
    <xf numFmtId="169" fontId="0" fillId="0" borderId="8" xfId="46" applyNumberFormat="1" applyFont="1" applyBorder="1" applyAlignment="1"/>
    <xf numFmtId="169" fontId="0" fillId="0" borderId="9" xfId="0" applyNumberFormat="1" applyFont="1" applyBorder="1" applyAlignment="1"/>
    <xf numFmtId="169" fontId="0" fillId="0" borderId="10" xfId="46" applyNumberFormat="1" applyFont="1" applyBorder="1" applyAlignment="1"/>
    <xf numFmtId="169" fontId="0" fillId="0" borderId="11" xfId="46" applyNumberFormat="1" applyFont="1" applyBorder="1" applyAlignment="1"/>
    <xf numFmtId="169" fontId="0" fillId="0" borderId="12" xfId="46" applyNumberFormat="1" applyFont="1" applyBorder="1" applyAlignment="1"/>
    <xf numFmtId="9" fontId="0" fillId="0" borderId="12" xfId="1" applyFont="1" applyBorder="1" applyAlignment="1"/>
    <xf numFmtId="1" fontId="0" fillId="0" borderId="13" xfId="1" applyNumberFormat="1" applyFont="1" applyBorder="1" applyAlignment="1"/>
    <xf numFmtId="169" fontId="0" fillId="0" borderId="14" xfId="0" applyNumberFormat="1" applyFont="1" applyBorder="1" applyAlignment="1"/>
    <xf numFmtId="169" fontId="0" fillId="0" borderId="0" xfId="0" applyNumberFormat="1" applyFont="1" applyBorder="1" applyAlignment="1"/>
    <xf numFmtId="9" fontId="0" fillId="0" borderId="0" xfId="1" applyFont="1" applyBorder="1" applyAlignment="1"/>
    <xf numFmtId="1" fontId="0" fillId="0" borderId="15" xfId="1" applyNumberFormat="1" applyFont="1" applyBorder="1" applyAlignment="1"/>
    <xf numFmtId="1" fontId="0" fillId="0" borderId="15" xfId="0" applyNumberFormat="1" applyFont="1" applyBorder="1" applyAlignment="1"/>
    <xf numFmtId="169" fontId="0" fillId="0" borderId="16" xfId="46" applyNumberFormat="1" applyFont="1" applyBorder="1" applyAlignment="1"/>
    <xf numFmtId="169" fontId="0" fillId="0" borderId="17" xfId="46" applyNumberFormat="1" applyFont="1" applyBorder="1" applyAlignment="1"/>
    <xf numFmtId="9" fontId="0" fillId="0" borderId="17" xfId="1" applyFont="1" applyBorder="1" applyAlignment="1"/>
    <xf numFmtId="1" fontId="0" fillId="0" borderId="18" xfId="1" applyNumberFormat="1" applyFont="1" applyBorder="1" applyAlignment="1"/>
    <xf numFmtId="169" fontId="0" fillId="0" borderId="9" xfId="46" applyNumberFormat="1" applyFont="1" applyBorder="1" applyAlignment="1"/>
    <xf numFmtId="168" fontId="0" fillId="0" borderId="0" xfId="46" applyNumberFormat="1" applyFont="1" applyBorder="1" applyAlignment="1"/>
    <xf numFmtId="9" fontId="0" fillId="0" borderId="8" xfId="1" applyFont="1" applyBorder="1" applyAlignment="1"/>
    <xf numFmtId="9" fontId="0" fillId="0" borderId="9" xfId="1" applyFont="1" applyBorder="1" applyAlignment="1"/>
    <xf numFmtId="9" fontId="0" fillId="0" borderId="10" xfId="1" applyFont="1" applyBorder="1" applyAlignment="1"/>
    <xf numFmtId="1" fontId="0" fillId="0" borderId="8" xfId="1" applyNumberFormat="1" applyFont="1" applyBorder="1" applyAlignment="1"/>
    <xf numFmtId="1" fontId="0" fillId="0" borderId="9" xfId="1" applyNumberFormat="1" applyFont="1" applyBorder="1" applyAlignment="1"/>
    <xf numFmtId="1" fontId="0" fillId="0" borderId="9" xfId="0" applyNumberFormat="1" applyFont="1" applyBorder="1" applyAlignment="1"/>
    <xf numFmtId="1" fontId="0" fillId="0" borderId="10" xfId="1" applyNumberFormat="1" applyFont="1" applyBorder="1" applyAlignment="1"/>
    <xf numFmtId="169" fontId="0" fillId="0" borderId="8" xfId="47" applyNumberFormat="1" applyFont="1" applyBorder="1" applyAlignment="1"/>
    <xf numFmtId="169" fontId="0" fillId="0" borderId="9" xfId="47" applyNumberFormat="1" applyFont="1" applyBorder="1" applyAlignment="1"/>
    <xf numFmtId="169" fontId="0" fillId="0" borderId="10" xfId="47" applyNumberFormat="1" applyFont="1" applyBorder="1" applyAlignment="1"/>
    <xf numFmtId="0" fontId="12" fillId="0" borderId="0" xfId="0" applyFont="1" applyBorder="1" applyAlignment="1"/>
    <xf numFmtId="0" fontId="13" fillId="0" borderId="0" xfId="0" applyFont="1"/>
    <xf numFmtId="168" fontId="0" fillId="0" borderId="8" xfId="0" applyNumberFormat="1" applyBorder="1" applyAlignment="1"/>
    <xf numFmtId="168" fontId="0" fillId="0" borderId="9" xfId="0" applyNumberFormat="1" applyBorder="1" applyAlignment="1"/>
    <xf numFmtId="168" fontId="0" fillId="0" borderId="9" xfId="0" applyNumberFormat="1" applyBorder="1" applyAlignment="1">
      <alignment wrapText="1"/>
    </xf>
    <xf numFmtId="169" fontId="0" fillId="0" borderId="10" xfId="47" applyNumberFormat="1" applyFont="1" applyBorder="1" applyAlignment="1">
      <alignment wrapText="1"/>
    </xf>
    <xf numFmtId="168" fontId="0" fillId="0" borderId="10" xfId="46" applyNumberFormat="1" applyFont="1" applyBorder="1" applyAlignment="1">
      <alignment wrapText="1"/>
    </xf>
    <xf numFmtId="169" fontId="0" fillId="0" borderId="8" xfId="0" applyNumberFormat="1" applyBorder="1" applyAlignment="1"/>
    <xf numFmtId="169" fontId="0" fillId="0" borderId="9" xfId="0" applyNumberFormat="1" applyBorder="1" applyAlignment="1"/>
    <xf numFmtId="169" fontId="0" fillId="0" borderId="9" xfId="0" applyNumberFormat="1" applyBorder="1" applyAlignment="1">
      <alignment wrapText="1"/>
    </xf>
    <xf numFmtId="0" fontId="0" fillId="0" borderId="10" xfId="0" applyBorder="1" applyAlignment="1">
      <alignment wrapText="1"/>
    </xf>
    <xf numFmtId="169" fontId="0" fillId="0" borderId="10" xfId="0" applyNumberFormat="1" applyBorder="1" applyAlignment="1">
      <alignment wrapText="1"/>
    </xf>
    <xf numFmtId="9" fontId="0" fillId="0" borderId="9" xfId="1" applyFont="1" applyBorder="1" applyAlignment="1">
      <alignment wrapText="1"/>
    </xf>
    <xf numFmtId="169" fontId="6" fillId="0" borderId="9" xfId="0" applyNumberFormat="1" applyFont="1" applyBorder="1" applyAlignment="1">
      <alignment wrapText="1"/>
    </xf>
    <xf numFmtId="9" fontId="0" fillId="0" borderId="10" xfId="1" applyFont="1" applyBorder="1" applyAlignment="1">
      <alignment wrapText="1"/>
    </xf>
    <xf numFmtId="1" fontId="0" fillId="0" borderId="9" xfId="1" applyNumberFormat="1" applyFont="1" applyBorder="1" applyAlignment="1">
      <alignment wrapText="1"/>
    </xf>
    <xf numFmtId="169" fontId="0" fillId="0" borderId="10" xfId="46" applyNumberFormat="1" applyFont="1" applyBorder="1" applyAlignment="1">
      <alignment wrapText="1"/>
    </xf>
    <xf numFmtId="169" fontId="0" fillId="0" borderId="8" xfId="0" applyNumberFormat="1" applyBorder="1" applyAlignment="1">
      <alignment wrapText="1"/>
    </xf>
    <xf numFmtId="168" fontId="0" fillId="0" borderId="8" xfId="0" applyNumberFormat="1" applyBorder="1" applyAlignment="1">
      <alignment wrapText="1"/>
    </xf>
    <xf numFmtId="0" fontId="0" fillId="0" borderId="14" xfId="0" applyBorder="1" applyAlignment="1">
      <alignment wrapText="1"/>
    </xf>
    <xf numFmtId="0" fontId="0" fillId="0" borderId="15" xfId="0" applyBorder="1" applyAlignment="1">
      <alignment wrapText="1"/>
    </xf>
    <xf numFmtId="168" fontId="0" fillId="0" borderId="0" xfId="46" applyNumberFormat="1" applyFont="1" applyBorder="1" applyAlignment="1">
      <alignment wrapText="1"/>
    </xf>
    <xf numFmtId="169" fontId="6" fillId="0" borderId="8" xfId="0" applyNumberFormat="1" applyFont="1" applyBorder="1" applyAlignment="1">
      <alignment wrapText="1"/>
    </xf>
    <xf numFmtId="1" fontId="0" fillId="0" borderId="10" xfId="46" applyNumberFormat="1" applyFont="1" applyBorder="1" applyAlignment="1">
      <alignment wrapText="1"/>
    </xf>
    <xf numFmtId="9" fontId="0" fillId="0" borderId="8" xfId="1" applyFont="1" applyBorder="1" applyAlignment="1">
      <alignment wrapText="1"/>
    </xf>
    <xf numFmtId="1" fontId="0" fillId="0" borderId="8" xfId="0" applyNumberFormat="1" applyBorder="1" applyAlignment="1">
      <alignment wrapText="1"/>
    </xf>
    <xf numFmtId="1" fontId="0" fillId="0" borderId="9" xfId="0" applyNumberFormat="1" applyBorder="1" applyAlignment="1">
      <alignment wrapText="1"/>
    </xf>
    <xf numFmtId="0" fontId="3" fillId="0" borderId="5" xfId="0" applyFont="1" applyBorder="1" applyAlignment="1">
      <alignment wrapText="1"/>
    </xf>
    <xf numFmtId="1" fontId="0" fillId="0" borderId="10" xfId="0" applyNumberFormat="1" applyBorder="1" applyAlignment="1">
      <alignment wrapText="1"/>
    </xf>
    <xf numFmtId="0" fontId="3" fillId="0" borderId="0" xfId="0" applyFont="1"/>
    <xf numFmtId="0" fontId="3" fillId="0" borderId="0" xfId="0" applyFont="1" applyAlignment="1">
      <alignment horizontal="center" wrapText="1"/>
    </xf>
    <xf numFmtId="0" fontId="3" fillId="4" borderId="0" xfId="0" applyFont="1" applyFill="1" applyAlignment="1"/>
    <xf numFmtId="0" fontId="11" fillId="0" borderId="8" xfId="0" applyFont="1" applyFill="1" applyBorder="1" applyAlignment="1">
      <alignment horizontal="center" vertical="center"/>
    </xf>
    <xf numFmtId="0" fontId="11" fillId="0" borderId="9" xfId="0" applyFont="1" applyFill="1" applyBorder="1" applyAlignment="1">
      <alignment horizontal="center" vertical="center"/>
    </xf>
    <xf numFmtId="0" fontId="11" fillId="0" borderId="10" xfId="0" applyFont="1" applyFill="1" applyBorder="1" applyAlignment="1">
      <alignment horizontal="center" vertical="center"/>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2" borderId="0" xfId="0" applyFont="1" applyFill="1" applyAlignment="1">
      <alignment horizontal="center" wrapText="1"/>
    </xf>
    <xf numFmtId="0" fontId="3" fillId="3" borderId="0" xfId="0" applyFont="1" applyFill="1" applyAlignment="1">
      <alignment horizontal="center"/>
    </xf>
  </cellXfs>
  <cellStyles count="111">
    <cellStyle name="Comma" xfId="46" builtinId="3"/>
    <cellStyle name="Currency" xfId="47" builtinId="4"/>
    <cellStyle name="Followed Hyperlink" xfId="10" builtinId="9" hidden="1"/>
    <cellStyle name="Followed Hyperlink" xfId="6" builtinId="9" hidden="1"/>
    <cellStyle name="Followed Hyperlink" xfId="5" builtinId="9" hidden="1"/>
    <cellStyle name="Followed Hyperlink" xfId="3" builtinId="9" hidden="1"/>
    <cellStyle name="Followed Hyperlink" xfId="7" builtinId="9" hidden="1"/>
    <cellStyle name="Followed Hyperlink" xfId="11" builtinId="9" hidden="1"/>
    <cellStyle name="Followed Hyperlink" xfId="12" builtinId="9" hidden="1"/>
    <cellStyle name="Followed Hyperlink" xfId="9" builtinId="9" hidden="1"/>
    <cellStyle name="Followed Hyperlink" xfId="8"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Hyperlink" xfId="2" builtinId="8" hidden="1"/>
    <cellStyle name="Hyperlink" xfId="4" builtinId="8"/>
    <cellStyle name="Normal" xfId="0" builtinId="0"/>
    <cellStyle name="Percent" xfId="1" builtinId="5"/>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8" Type="http://schemas.openxmlformats.org/officeDocument/2006/relationships/hyperlink" Target="https://apps.who.int/iris/bitstream/handle/10665/208213/9789290616917_eng.pdf?sequence=1" TargetMode="External"/><Relationship Id="rId13" Type="http://schemas.openxmlformats.org/officeDocument/2006/relationships/hyperlink" Target="https://www.globalfinancingfacility.org/sites/gff_new/files/Uganda-Private-Sector-Assessment-health.pdf" TargetMode="External"/><Relationship Id="rId3" Type="http://schemas.openxmlformats.org/officeDocument/2006/relationships/hyperlink" Target="https://dhsprogram.com/pubs/pdf/SPA20/SPA20%5BOct-7-2015%5D.pdf" TargetMode="External"/><Relationship Id="rId7" Type="http://schemas.openxmlformats.org/officeDocument/2006/relationships/hyperlink" Target="http://moh.gov.rw/fileadmin/templates/Docs/FINALH_2-1.pdf" TargetMode="External"/><Relationship Id="rId12" Type="http://schemas.openxmlformats.org/officeDocument/2006/relationships/hyperlink" Target="https://www.swecare.se/Portals/swecare/Documents/Report-on-the-Health-Care-Sector-and-Business-Opportunities-in-Zambia.pdf" TargetMode="External"/><Relationship Id="rId2" Type="http://schemas.openxmlformats.org/officeDocument/2006/relationships/hyperlink" Target="https://www.pharmaccess.org/wp-content/uploads/2018/01/The-healthcare-system-in-Ghana.pdf" TargetMode="External"/><Relationship Id="rId1" Type="http://schemas.openxmlformats.org/officeDocument/2006/relationships/hyperlink" Target="https://www.academia.edu/35791749/Nigerias_Private_Healthcare_Market_-_A_Potential_Market_Entry_by_Life_Hospital_Group" TargetMode="External"/><Relationship Id="rId6" Type="http://schemas.openxmlformats.org/officeDocument/2006/relationships/hyperlink" Target="https://www.shopsplusproject.org/sites/default/files/resources/Senegal%20Private%20Health%20Sector%20Assessment_Selected%20Products%20and%20Services.pdf" TargetMode="External"/><Relationship Id="rId11" Type="http://schemas.openxmlformats.org/officeDocument/2006/relationships/hyperlink" Target="https://dhsprogram.com/pubs/pdf/SPA24/SPA24.pdf" TargetMode="External"/><Relationship Id="rId5" Type="http://schemas.openxmlformats.org/officeDocument/2006/relationships/hyperlink" Target="https://www.shopsplusproject.org/sites/default/files/resources/Tanzania%20Private%20Sector%20Assessment%202.pdf" TargetMode="External"/><Relationship Id="rId10" Type="http://schemas.openxmlformats.org/officeDocument/2006/relationships/hyperlink" Target="https://www.shopsplusproject.org/sites/default/files/resources/Botswana%20PSA_22May2014_FINAL.pdf" TargetMode="External"/><Relationship Id="rId4" Type="http://schemas.openxmlformats.org/officeDocument/2006/relationships/hyperlink" Target="http://ncuwash.org/newfour/wp-content/uploads/2017/08/Zimbabwe-Service-Availability-and-Readiness-Assessment-Report.pdf" TargetMode="External"/><Relationship Id="rId9" Type="http://schemas.openxmlformats.org/officeDocument/2006/relationships/hyperlink" Target="https://dhsprogram.com/pubs/pdf/SPA23/SPA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G17"/>
  <sheetViews>
    <sheetView tabSelected="1" zoomScale="90" zoomScaleNormal="90" workbookViewId="0"/>
  </sheetViews>
  <sheetFormatPr defaultColWidth="11.19921875" defaultRowHeight="15.6" x14ac:dyDescent="0.3"/>
  <cols>
    <col min="1" max="1" width="60.796875" customWidth="1"/>
    <col min="2" max="2" width="6.296875" customWidth="1"/>
    <col min="3" max="3" width="54.19921875" customWidth="1"/>
    <col min="4" max="4" width="15.296875" customWidth="1"/>
    <col min="5" max="5" width="17.69921875" customWidth="1"/>
    <col min="6" max="6" width="15.796875" customWidth="1"/>
    <col min="7" max="7" width="15.5" customWidth="1"/>
  </cols>
  <sheetData>
    <row r="2" spans="1:7" s="2" customFormat="1" x14ac:dyDescent="0.3">
      <c r="A2" s="1" t="s">
        <v>122</v>
      </c>
      <c r="B2" s="1"/>
      <c r="C2" s="1" t="s">
        <v>112</v>
      </c>
      <c r="D2" s="1" t="s">
        <v>48</v>
      </c>
      <c r="E2" s="1" t="s">
        <v>49</v>
      </c>
      <c r="F2" s="1" t="s">
        <v>50</v>
      </c>
      <c r="G2" s="1"/>
    </row>
    <row r="3" spans="1:7" s="2" customFormat="1" x14ac:dyDescent="0.3">
      <c r="A3" s="2" t="s">
        <v>123</v>
      </c>
      <c r="B3" s="2" t="s">
        <v>30</v>
      </c>
      <c r="C3" s="2" t="s">
        <v>121</v>
      </c>
      <c r="D3" s="8">
        <v>0.2</v>
      </c>
      <c r="E3" s="9">
        <v>0.15</v>
      </c>
      <c r="F3" s="9">
        <v>0.05</v>
      </c>
      <c r="G3" s="9"/>
    </row>
    <row r="4" spans="1:7" s="2" customFormat="1" ht="31.2" x14ac:dyDescent="0.3">
      <c r="A4" s="2" t="s">
        <v>127</v>
      </c>
      <c r="B4" s="2" t="s">
        <v>30</v>
      </c>
      <c r="C4" s="2" t="s">
        <v>124</v>
      </c>
      <c r="D4" s="8">
        <v>0.7</v>
      </c>
      <c r="E4" s="8">
        <v>0.3</v>
      </c>
      <c r="F4" s="8">
        <v>0.7</v>
      </c>
      <c r="G4" s="9"/>
    </row>
    <row r="6" spans="1:7" s="1" customFormat="1" x14ac:dyDescent="0.3">
      <c r="A6" s="1" t="s">
        <v>114</v>
      </c>
      <c r="D6" s="13"/>
      <c r="E6" s="13"/>
      <c r="F6" s="13"/>
      <c r="G6" s="14"/>
    </row>
    <row r="7" spans="1:7" s="2" customFormat="1" ht="46.8" x14ac:dyDescent="0.3">
      <c r="A7" s="2" t="s">
        <v>113</v>
      </c>
      <c r="B7" s="2" t="s">
        <v>30</v>
      </c>
      <c r="C7" s="2" t="s">
        <v>120</v>
      </c>
      <c r="D7" s="8">
        <v>1</v>
      </c>
      <c r="E7" s="8">
        <v>1</v>
      </c>
      <c r="F7" s="8">
        <v>1</v>
      </c>
      <c r="G7" s="8"/>
    </row>
    <row r="8" spans="1:7" s="2" customFormat="1" ht="31.2" x14ac:dyDescent="0.3">
      <c r="A8" s="2" t="s">
        <v>118</v>
      </c>
      <c r="B8" s="2" t="s">
        <v>30</v>
      </c>
      <c r="C8" s="2" t="s">
        <v>119</v>
      </c>
      <c r="D8" s="10">
        <v>0.5</v>
      </c>
      <c r="E8" s="10">
        <v>0.5</v>
      </c>
      <c r="F8" s="10">
        <v>0.5</v>
      </c>
      <c r="G8" s="9"/>
    </row>
    <row r="9" spans="1:7" ht="31.2" x14ac:dyDescent="0.3">
      <c r="A9" s="2" t="s">
        <v>109</v>
      </c>
      <c r="B9" s="2" t="s">
        <v>30</v>
      </c>
      <c r="C9" s="2" t="s">
        <v>125</v>
      </c>
      <c r="D9" s="8">
        <v>0.95</v>
      </c>
      <c r="E9" s="8">
        <v>1</v>
      </c>
      <c r="F9" s="8">
        <v>0.95</v>
      </c>
      <c r="G9" s="8"/>
    </row>
    <row r="10" spans="1:7" s="2" customFormat="1" ht="31.2" x14ac:dyDescent="0.3">
      <c r="C10" s="1" t="s">
        <v>31</v>
      </c>
      <c r="D10" s="15">
        <f>D3*D7*D9*D4*D8</f>
        <v>6.649999999999999E-2</v>
      </c>
      <c r="E10" s="15">
        <f>E3*E7*E9*E4*E8</f>
        <v>2.2499999999999999E-2</v>
      </c>
      <c r="F10" s="15">
        <f>F3*F7*F9*F4*F8</f>
        <v>1.6624999999999997E-2</v>
      </c>
      <c r="G10" s="15"/>
    </row>
    <row r="11" spans="1:7" s="2" customFormat="1" x14ac:dyDescent="0.3">
      <c r="C11" s="1"/>
      <c r="D11" s="12"/>
      <c r="E11" s="12"/>
      <c r="F11" s="12"/>
      <c r="G11" s="12"/>
    </row>
    <row r="12" spans="1:7" s="1" customFormat="1" x14ac:dyDescent="0.3">
      <c r="A12" s="1" t="s">
        <v>51</v>
      </c>
      <c r="D12" s="15"/>
      <c r="E12" s="15"/>
      <c r="F12" s="15"/>
      <c r="G12" s="15"/>
    </row>
    <row r="13" spans="1:7" ht="31.2" x14ac:dyDescent="0.3">
      <c r="A13" s="2" t="s">
        <v>116</v>
      </c>
      <c r="B13" t="s">
        <v>30</v>
      </c>
      <c r="C13" s="1" t="s">
        <v>115</v>
      </c>
      <c r="D13" s="122">
        <v>10</v>
      </c>
      <c r="E13" s="122">
        <v>4</v>
      </c>
      <c r="F13" s="122">
        <v>10</v>
      </c>
    </row>
    <row r="14" spans="1:7" x14ac:dyDescent="0.3">
      <c r="A14" s="2"/>
      <c r="C14" s="2"/>
    </row>
    <row r="15" spans="1:7" s="2" customFormat="1" x14ac:dyDescent="0.3">
      <c r="A15" s="1" t="s">
        <v>47</v>
      </c>
      <c r="D15" s="11"/>
      <c r="E15" s="11"/>
      <c r="F15" s="3"/>
      <c r="G15" s="9"/>
    </row>
    <row r="16" spans="1:7" s="2" customFormat="1" ht="31.2" x14ac:dyDescent="0.3">
      <c r="A16" s="2" t="s">
        <v>128</v>
      </c>
      <c r="B16" s="2" t="s">
        <v>30</v>
      </c>
      <c r="C16" s="2" t="s">
        <v>57</v>
      </c>
      <c r="D16" s="123" t="s">
        <v>117</v>
      </c>
      <c r="E16" s="123" t="s">
        <v>117</v>
      </c>
      <c r="F16" s="123" t="s">
        <v>117</v>
      </c>
    </row>
    <row r="17" spans="4:4" s="2" customFormat="1" x14ac:dyDescent="0.3">
      <c r="D17" s="1"/>
    </row>
  </sheetData>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AA38"/>
  <sheetViews>
    <sheetView zoomScale="90" zoomScaleNormal="90" workbookViewId="0">
      <pane ySplit="2" topLeftCell="A3" activePane="bottomLeft" state="frozen"/>
      <selection activeCell="H1" sqref="H1"/>
      <selection pane="bottomLeft"/>
    </sheetView>
  </sheetViews>
  <sheetFormatPr defaultColWidth="11" defaultRowHeight="15.6" x14ac:dyDescent="0.3"/>
  <cols>
    <col min="1" max="1" width="27.5" customWidth="1"/>
    <col min="2" max="2" width="10.19921875" style="2" customWidth="1"/>
    <col min="3" max="3" width="12" style="2" customWidth="1"/>
    <col min="4" max="5" width="14.69921875" style="2" customWidth="1"/>
    <col min="6" max="6" width="9.5" style="2" customWidth="1"/>
    <col min="7" max="7" width="17.296875" style="2" customWidth="1"/>
    <col min="8" max="8" width="16" style="2" customWidth="1"/>
    <col min="9" max="9" width="11" style="2" customWidth="1"/>
    <col min="10" max="10" width="24.296875" style="2" customWidth="1"/>
    <col min="11" max="11" width="18.5" style="2" customWidth="1"/>
    <col min="12" max="12" width="20.69921875" customWidth="1"/>
    <col min="13" max="13" width="21.796875" customWidth="1"/>
    <col min="14" max="14" width="23.69921875" customWidth="1"/>
    <col min="15" max="15" width="18" bestFit="1" customWidth="1"/>
    <col min="16" max="16" width="10.5" customWidth="1"/>
    <col min="17" max="17" width="9.296875" style="2" customWidth="1"/>
    <col min="18" max="18" width="11.296875" style="2" customWidth="1"/>
    <col min="19" max="19" width="16.19921875" style="2" customWidth="1"/>
    <col min="20" max="20" width="17.5" style="2" customWidth="1"/>
    <col min="21" max="22" width="20.296875" style="2" customWidth="1"/>
    <col min="23" max="23" width="81.5" style="2" customWidth="1"/>
    <col min="24" max="24" width="70.69921875" customWidth="1"/>
    <col min="25" max="25" width="51" style="6" customWidth="1"/>
    <col min="26" max="26" width="31.296875" style="6" customWidth="1"/>
  </cols>
  <sheetData>
    <row r="1" spans="1:27" ht="61.05" customHeight="1" thickBot="1" x14ac:dyDescent="0.35">
      <c r="A1" s="120" t="s">
        <v>126</v>
      </c>
      <c r="B1" s="131" t="s">
        <v>53</v>
      </c>
      <c r="C1" s="131"/>
      <c r="D1" s="131"/>
      <c r="E1" s="131"/>
      <c r="F1" s="131"/>
      <c r="G1" s="131"/>
      <c r="H1" s="131"/>
      <c r="I1" s="131"/>
      <c r="J1" s="131"/>
      <c r="K1" s="131"/>
      <c r="L1" s="132" t="s">
        <v>52</v>
      </c>
      <c r="M1" s="132"/>
      <c r="N1" s="132"/>
      <c r="O1" s="132"/>
      <c r="P1" s="132"/>
      <c r="Q1" s="132"/>
      <c r="R1" s="132"/>
      <c r="S1" s="18"/>
      <c r="T1" s="18" t="s">
        <v>55</v>
      </c>
      <c r="U1" s="18"/>
      <c r="V1" s="18"/>
      <c r="W1" s="16"/>
      <c r="X1" s="124" t="s">
        <v>44</v>
      </c>
      <c r="Y1" s="124"/>
      <c r="AA1" s="17"/>
    </row>
    <row r="2" spans="1:27" s="1" customFormat="1" ht="46.8" x14ac:dyDescent="0.3">
      <c r="B2" s="1" t="s">
        <v>0</v>
      </c>
      <c r="C2" s="1" t="s">
        <v>19</v>
      </c>
      <c r="D2" s="1" t="s">
        <v>20</v>
      </c>
      <c r="E2" s="1" t="s">
        <v>107</v>
      </c>
      <c r="F2" s="1" t="s">
        <v>21</v>
      </c>
      <c r="G2" s="1" t="s">
        <v>1</v>
      </c>
      <c r="H2" s="1" t="s">
        <v>36</v>
      </c>
      <c r="I2" s="1" t="s">
        <v>77</v>
      </c>
      <c r="J2" s="1" t="s">
        <v>23</v>
      </c>
      <c r="K2" s="1" t="s">
        <v>40</v>
      </c>
      <c r="L2" s="1" t="s">
        <v>98</v>
      </c>
      <c r="M2" s="1" t="s">
        <v>99</v>
      </c>
      <c r="N2" s="1" t="s">
        <v>62</v>
      </c>
      <c r="O2" s="1" t="s">
        <v>83</v>
      </c>
      <c r="P2" s="1" t="s">
        <v>24</v>
      </c>
      <c r="Q2" s="1" t="s">
        <v>22</v>
      </c>
      <c r="R2" s="1" t="s">
        <v>25</v>
      </c>
      <c r="S2" s="1" t="s">
        <v>58</v>
      </c>
      <c r="T2" s="1" t="s">
        <v>59</v>
      </c>
      <c r="U2" s="1" t="s">
        <v>60</v>
      </c>
      <c r="V2" s="1" t="s">
        <v>66</v>
      </c>
      <c r="W2" s="1" t="s">
        <v>61</v>
      </c>
      <c r="X2" s="1" t="s">
        <v>2</v>
      </c>
      <c r="Y2" s="4" t="s">
        <v>29</v>
      </c>
    </row>
    <row r="3" spans="1:27" s="5" customFormat="1" ht="22.05" customHeight="1" x14ac:dyDescent="0.3">
      <c r="A3" s="5">
        <v>1</v>
      </c>
      <c r="B3" s="5" t="s">
        <v>8</v>
      </c>
      <c r="C3" s="41" t="s">
        <v>6</v>
      </c>
      <c r="D3" s="41" t="s">
        <v>34</v>
      </c>
      <c r="E3" s="41" t="s">
        <v>34</v>
      </c>
      <c r="F3" s="5" t="s">
        <v>9</v>
      </c>
      <c r="G3" s="35">
        <v>18630000</v>
      </c>
      <c r="H3" s="22" t="s">
        <v>39</v>
      </c>
      <c r="I3" s="23">
        <v>2.7E-2</v>
      </c>
      <c r="J3" s="57">
        <v>6300000000</v>
      </c>
      <c r="K3" s="5" t="s">
        <v>43</v>
      </c>
      <c r="L3" s="57">
        <v>4090000000</v>
      </c>
      <c r="M3" s="57">
        <v>1600000000</v>
      </c>
      <c r="N3" s="33">
        <v>0.182</v>
      </c>
      <c r="O3" s="24">
        <v>0.14000000000000001</v>
      </c>
      <c r="P3" s="5">
        <v>1231</v>
      </c>
      <c r="Q3" s="5">
        <v>40</v>
      </c>
      <c r="R3" s="5">
        <v>38</v>
      </c>
      <c r="S3" s="38">
        <f>P3*0.0665</f>
        <v>81.861500000000007</v>
      </c>
      <c r="T3" s="38">
        <f>Q3*0.0225</f>
        <v>0.89999999999999991</v>
      </c>
      <c r="U3" s="38">
        <f>R3*0.0166</f>
        <v>0.63080000000000003</v>
      </c>
      <c r="V3" s="38">
        <f>SUM(S3:U3)</f>
        <v>83.392300000000006</v>
      </c>
      <c r="W3" s="5" t="s">
        <v>72</v>
      </c>
      <c r="Y3" s="7" t="s">
        <v>63</v>
      </c>
    </row>
    <row r="4" spans="1:27" s="5" customFormat="1" ht="30" customHeight="1" x14ac:dyDescent="0.3">
      <c r="A4" s="5">
        <v>2</v>
      </c>
      <c r="B4" s="5" t="s">
        <v>10</v>
      </c>
      <c r="C4" s="42" t="s">
        <v>6</v>
      </c>
      <c r="D4" s="42" t="s">
        <v>33</v>
      </c>
      <c r="E4" s="42" t="s">
        <v>108</v>
      </c>
      <c r="F4" s="5" t="s">
        <v>7</v>
      </c>
      <c r="G4" s="35">
        <v>16530000</v>
      </c>
      <c r="H4" s="5" t="s">
        <v>39</v>
      </c>
      <c r="I4" s="23">
        <v>2.3E-2</v>
      </c>
      <c r="J4" s="57">
        <v>17900000000</v>
      </c>
      <c r="K4" s="5" t="s">
        <v>43</v>
      </c>
      <c r="L4" s="57">
        <v>1680000000</v>
      </c>
      <c r="M4" s="57">
        <v>472000000</v>
      </c>
      <c r="N4" s="33">
        <v>0.28100000000000003</v>
      </c>
      <c r="O4" s="24">
        <v>0.10299999999999999</v>
      </c>
      <c r="P4" s="5">
        <v>94</v>
      </c>
      <c r="Q4" s="5">
        <v>94</v>
      </c>
      <c r="R4" s="25">
        <v>287</v>
      </c>
      <c r="S4" s="38">
        <f>P4*0.0665</f>
        <v>6.2510000000000003</v>
      </c>
      <c r="T4" s="38">
        <f>Q4*0.0225</f>
        <v>2.1149999999999998</v>
      </c>
      <c r="U4" s="38">
        <f t="shared" ref="U4:U16" si="0">R4*0.0166</f>
        <v>4.7641999999999998</v>
      </c>
      <c r="V4" s="38">
        <f>SUM(S4:U4)</f>
        <v>13.130199999999999</v>
      </c>
      <c r="W4" s="32" t="s">
        <v>130</v>
      </c>
      <c r="Y4" s="7" t="s">
        <v>26</v>
      </c>
    </row>
    <row r="5" spans="1:27" s="5" customFormat="1" ht="28.05" customHeight="1" x14ac:dyDescent="0.3">
      <c r="A5" s="5">
        <v>3</v>
      </c>
      <c r="B5" s="5" t="s">
        <v>3</v>
      </c>
      <c r="C5" s="41" t="s">
        <v>12</v>
      </c>
      <c r="D5" s="42" t="s">
        <v>33</v>
      </c>
      <c r="E5" s="42" t="s">
        <v>108</v>
      </c>
      <c r="F5" s="5" t="s">
        <v>7</v>
      </c>
      <c r="G5" s="34">
        <v>200000000</v>
      </c>
      <c r="H5" s="5" t="s">
        <v>37</v>
      </c>
      <c r="I5" s="28">
        <v>2.3E-2</v>
      </c>
      <c r="J5" s="57">
        <v>375800000000</v>
      </c>
      <c r="K5" s="29" t="s">
        <v>41</v>
      </c>
      <c r="L5" s="57">
        <v>13700000000</v>
      </c>
      <c r="M5" s="57">
        <v>10500000000</v>
      </c>
      <c r="N5" s="33">
        <v>0.77</v>
      </c>
      <c r="O5" s="24">
        <v>0.33</v>
      </c>
      <c r="P5" s="25">
        <v>3000</v>
      </c>
      <c r="Q5" s="5">
        <v>2609</v>
      </c>
      <c r="R5" s="25">
        <v>4500</v>
      </c>
      <c r="S5" s="38">
        <f>P5*0.0665</f>
        <v>199.5</v>
      </c>
      <c r="T5" s="38">
        <f>Q5*0.0225</f>
        <v>58.702500000000001</v>
      </c>
      <c r="U5" s="38">
        <f t="shared" si="0"/>
        <v>74.7</v>
      </c>
      <c r="V5" s="38">
        <f>SUM(S5:U5)</f>
        <v>332.90249999999997</v>
      </c>
      <c r="W5" s="5" t="s">
        <v>64</v>
      </c>
      <c r="X5" s="5" t="s">
        <v>54</v>
      </c>
      <c r="Y5" s="20" t="s">
        <v>65</v>
      </c>
    </row>
    <row r="6" spans="1:27" s="5" customFormat="1" ht="28.05" customHeight="1" x14ac:dyDescent="0.3">
      <c r="A6" s="5">
        <v>4</v>
      </c>
      <c r="B6" s="5" t="s">
        <v>4</v>
      </c>
      <c r="C6" s="41" t="s">
        <v>12</v>
      </c>
      <c r="D6" s="42" t="s">
        <v>33</v>
      </c>
      <c r="E6" s="42" t="s">
        <v>108</v>
      </c>
      <c r="F6" s="5" t="s">
        <v>7</v>
      </c>
      <c r="G6" s="35">
        <v>49000000</v>
      </c>
      <c r="H6" s="5" t="s">
        <v>38</v>
      </c>
      <c r="I6" s="23">
        <v>2.5000000000000001E-2</v>
      </c>
      <c r="J6" s="57">
        <v>75000000000</v>
      </c>
      <c r="K6" s="5" t="s">
        <v>41</v>
      </c>
      <c r="L6" s="57">
        <v>3500000000</v>
      </c>
      <c r="M6" s="57">
        <v>1400000000</v>
      </c>
      <c r="N6" s="33">
        <v>0.39</v>
      </c>
      <c r="O6" s="24">
        <v>0.52</v>
      </c>
      <c r="P6" s="5">
        <v>4201</v>
      </c>
      <c r="Q6" s="5">
        <v>243</v>
      </c>
      <c r="R6" s="25">
        <v>582</v>
      </c>
      <c r="S6" s="38">
        <f>P6*0.0665</f>
        <v>279.36650000000003</v>
      </c>
      <c r="T6" s="38">
        <f>Q6*0.0225</f>
        <v>5.4674999999999994</v>
      </c>
      <c r="U6" s="38">
        <f t="shared" si="0"/>
        <v>9.6612000000000009</v>
      </c>
      <c r="V6" s="38">
        <f t="shared" ref="V6:V16" si="1">SUM(S6:U6)</f>
        <v>294.49520000000001</v>
      </c>
      <c r="W6" s="5" t="s">
        <v>68</v>
      </c>
      <c r="X6" s="5" t="s">
        <v>67</v>
      </c>
      <c r="Y6" s="5" t="s">
        <v>69</v>
      </c>
    </row>
    <row r="7" spans="1:27" s="5" customFormat="1" ht="31.95" customHeight="1" x14ac:dyDescent="0.3">
      <c r="A7" s="5">
        <v>5</v>
      </c>
      <c r="B7" s="5" t="s">
        <v>5</v>
      </c>
      <c r="C7" s="41" t="s">
        <v>12</v>
      </c>
      <c r="D7" s="42" t="s">
        <v>33</v>
      </c>
      <c r="E7" s="42" t="s">
        <v>108</v>
      </c>
      <c r="F7" s="5" t="s">
        <v>7</v>
      </c>
      <c r="G7" s="35">
        <v>30420000</v>
      </c>
      <c r="H7" s="5" t="s">
        <v>38</v>
      </c>
      <c r="I7" s="23">
        <v>2.1999999999999999E-2</v>
      </c>
      <c r="J7" s="57">
        <v>47300000000</v>
      </c>
      <c r="K7" s="5" t="s">
        <v>42</v>
      </c>
      <c r="L7" s="57">
        <v>2100000000</v>
      </c>
      <c r="M7" s="57">
        <v>1000000000</v>
      </c>
      <c r="N7" s="33">
        <v>0.48899999999999999</v>
      </c>
      <c r="O7" s="24">
        <v>0.31</v>
      </c>
      <c r="P7" s="5">
        <v>1197</v>
      </c>
      <c r="Q7" s="5">
        <v>230</v>
      </c>
      <c r="R7" s="5">
        <v>325</v>
      </c>
      <c r="S7" s="38">
        <f>P7*0.0665</f>
        <v>79.600500000000011</v>
      </c>
      <c r="T7" s="38">
        <f>Q7*0.0225</f>
        <v>5.1749999999999998</v>
      </c>
      <c r="U7" s="38">
        <f t="shared" si="0"/>
        <v>5.3950000000000005</v>
      </c>
      <c r="V7" s="38">
        <f t="shared" si="1"/>
        <v>90.170500000000004</v>
      </c>
      <c r="W7" s="5" t="s">
        <v>70</v>
      </c>
      <c r="X7" s="5" t="s">
        <v>71</v>
      </c>
      <c r="Y7" s="21" t="s">
        <v>56</v>
      </c>
    </row>
    <row r="8" spans="1:27" s="5" customFormat="1" ht="25.05" customHeight="1" x14ac:dyDescent="0.3">
      <c r="A8" s="5">
        <v>6</v>
      </c>
      <c r="B8" s="5" t="s">
        <v>11</v>
      </c>
      <c r="C8" s="41" t="s">
        <v>12</v>
      </c>
      <c r="D8" s="41" t="s">
        <v>34</v>
      </c>
      <c r="E8" s="41" t="s">
        <v>34</v>
      </c>
      <c r="F8" s="5" t="s">
        <v>9</v>
      </c>
      <c r="G8" s="35">
        <v>57310000</v>
      </c>
      <c r="H8" s="22" t="s">
        <v>37</v>
      </c>
      <c r="I8" s="23">
        <v>3.1E-2</v>
      </c>
      <c r="J8" s="57">
        <v>52100000000</v>
      </c>
      <c r="K8" s="5" t="s">
        <v>41</v>
      </c>
      <c r="L8" s="57">
        <f>0.0419*J8</f>
        <v>2182990000</v>
      </c>
      <c r="M8" s="57">
        <f>0.2296*L8</f>
        <v>501214504</v>
      </c>
      <c r="N8" s="24">
        <v>0.23</v>
      </c>
      <c r="O8" s="33">
        <v>0.27</v>
      </c>
      <c r="P8" s="5">
        <v>189</v>
      </c>
      <c r="Q8" s="5">
        <v>137</v>
      </c>
      <c r="R8" s="5">
        <v>1412</v>
      </c>
      <c r="S8" s="38">
        <f t="shared" ref="S8:S16" si="2">P8*0.0665</f>
        <v>12.5685</v>
      </c>
      <c r="T8" s="38">
        <f t="shared" ref="T8:T16" si="3">Q8*0.0225</f>
        <v>3.0825</v>
      </c>
      <c r="U8" s="38">
        <f t="shared" si="0"/>
        <v>23.4392</v>
      </c>
      <c r="V8" s="38">
        <f t="shared" si="1"/>
        <v>39.090199999999996</v>
      </c>
      <c r="W8" s="5" t="s">
        <v>110</v>
      </c>
      <c r="Y8" s="7" t="s">
        <v>111</v>
      </c>
    </row>
    <row r="9" spans="1:27" s="5" customFormat="1" ht="40.049999999999997" customHeight="1" x14ac:dyDescent="0.3">
      <c r="A9" s="5">
        <v>7</v>
      </c>
      <c r="B9" s="5" t="s">
        <v>13</v>
      </c>
      <c r="C9" s="41" t="s">
        <v>12</v>
      </c>
      <c r="D9" s="42" t="s">
        <v>33</v>
      </c>
      <c r="E9" s="42" t="s">
        <v>108</v>
      </c>
      <c r="F9" s="5" t="s">
        <v>7</v>
      </c>
      <c r="G9" s="35">
        <v>15850000</v>
      </c>
      <c r="H9" s="5" t="s">
        <v>39</v>
      </c>
      <c r="I9" s="23">
        <v>2.8000000000000001E-2</v>
      </c>
      <c r="J9" s="57">
        <v>16400000000</v>
      </c>
      <c r="K9" s="5" t="s">
        <v>43</v>
      </c>
      <c r="L9" s="57">
        <v>903600000</v>
      </c>
      <c r="M9" s="57">
        <v>535800000</v>
      </c>
      <c r="N9" s="33">
        <v>0.59299999999999997</v>
      </c>
      <c r="O9" s="33">
        <v>0.55000000000000004</v>
      </c>
      <c r="P9" s="25">
        <v>3020</v>
      </c>
      <c r="Q9" s="25">
        <v>30</v>
      </c>
      <c r="R9" s="5">
        <v>1048</v>
      </c>
      <c r="S9" s="38">
        <f t="shared" si="2"/>
        <v>200.83</v>
      </c>
      <c r="T9" s="38">
        <f t="shared" si="3"/>
        <v>0.67499999999999993</v>
      </c>
      <c r="U9" s="38">
        <f t="shared" si="0"/>
        <v>17.396799999999999</v>
      </c>
      <c r="V9" s="38">
        <f t="shared" si="1"/>
        <v>218.90180000000004</v>
      </c>
      <c r="W9" s="5" t="s">
        <v>73</v>
      </c>
      <c r="Y9" s="7" t="s">
        <v>14</v>
      </c>
    </row>
    <row r="10" spans="1:27" s="5" customFormat="1" ht="30" customHeight="1" x14ac:dyDescent="0.3">
      <c r="A10" s="5">
        <v>8</v>
      </c>
      <c r="B10" s="5" t="s">
        <v>15</v>
      </c>
      <c r="C10" s="41" t="s">
        <v>12</v>
      </c>
      <c r="D10" s="41" t="s">
        <v>34</v>
      </c>
      <c r="E10" s="41" t="s">
        <v>34</v>
      </c>
      <c r="F10" s="5" t="s">
        <v>7</v>
      </c>
      <c r="G10" s="35">
        <v>12210000</v>
      </c>
      <c r="H10" s="22" t="s">
        <v>39</v>
      </c>
      <c r="I10" s="23">
        <v>2.4E-2</v>
      </c>
      <c r="J10" s="57">
        <v>9100000000</v>
      </c>
      <c r="K10" s="5" t="s">
        <v>43</v>
      </c>
      <c r="L10" s="57">
        <v>591500000</v>
      </c>
      <c r="M10" s="57">
        <v>91700000</v>
      </c>
      <c r="N10" s="33">
        <v>0.15</v>
      </c>
      <c r="O10" s="24">
        <f>590/1607</f>
        <v>0.36714374611076539</v>
      </c>
      <c r="P10" s="5">
        <v>252</v>
      </c>
      <c r="Q10" s="5">
        <v>19</v>
      </c>
      <c r="R10" s="5">
        <v>319</v>
      </c>
      <c r="S10" s="38">
        <f t="shared" si="2"/>
        <v>16.758000000000003</v>
      </c>
      <c r="T10" s="38">
        <f t="shared" si="3"/>
        <v>0.42749999999999999</v>
      </c>
      <c r="U10" s="38">
        <f t="shared" si="0"/>
        <v>5.2953999999999999</v>
      </c>
      <c r="V10" s="38">
        <f t="shared" si="1"/>
        <v>22.480900000000002</v>
      </c>
      <c r="W10" s="5" t="s">
        <v>76</v>
      </c>
      <c r="X10" s="5" t="s">
        <v>75</v>
      </c>
      <c r="Y10" s="7" t="s">
        <v>74</v>
      </c>
    </row>
    <row r="11" spans="1:27" s="5" customFormat="1" ht="31.05" customHeight="1" x14ac:dyDescent="0.3">
      <c r="A11" s="5">
        <v>9</v>
      </c>
      <c r="B11" s="5" t="s">
        <v>16</v>
      </c>
      <c r="C11" s="41" t="s">
        <v>12</v>
      </c>
      <c r="D11" s="42" t="s">
        <v>33</v>
      </c>
      <c r="E11" s="42" t="s">
        <v>108</v>
      </c>
      <c r="F11" s="5" t="s">
        <v>7</v>
      </c>
      <c r="G11" s="35">
        <v>16000000</v>
      </c>
      <c r="H11" s="5" t="s">
        <v>39</v>
      </c>
      <c r="I11" s="23">
        <v>1.4999999999999999E-2</v>
      </c>
      <c r="J11" s="57">
        <v>23000000000</v>
      </c>
      <c r="K11" s="5" t="s">
        <v>42</v>
      </c>
      <c r="L11" s="57">
        <v>1350000000</v>
      </c>
      <c r="M11" s="57">
        <v>799200000</v>
      </c>
      <c r="N11" s="33">
        <v>0.59199999999999997</v>
      </c>
      <c r="O11" s="24">
        <v>0.8</v>
      </c>
      <c r="P11" s="25">
        <v>800</v>
      </c>
      <c r="Q11" s="5">
        <v>5</v>
      </c>
      <c r="R11" s="25">
        <v>1200</v>
      </c>
      <c r="S11" s="38">
        <f t="shared" si="2"/>
        <v>53.2</v>
      </c>
      <c r="T11" s="38">
        <f t="shared" si="3"/>
        <v>0.11249999999999999</v>
      </c>
      <c r="U11" s="38">
        <f t="shared" si="0"/>
        <v>19.920000000000002</v>
      </c>
      <c r="V11" s="38">
        <f t="shared" si="1"/>
        <v>73.232500000000002</v>
      </c>
      <c r="W11" s="5" t="s">
        <v>78</v>
      </c>
      <c r="Y11" s="7" t="s">
        <v>79</v>
      </c>
    </row>
    <row r="12" spans="1:27" s="5" customFormat="1" ht="40.950000000000003" customHeight="1" x14ac:dyDescent="0.3">
      <c r="A12" s="5">
        <v>10</v>
      </c>
      <c r="B12" s="5" t="s">
        <v>17</v>
      </c>
      <c r="C12" s="41" t="s">
        <v>12</v>
      </c>
      <c r="D12" s="42" t="s">
        <v>33</v>
      </c>
      <c r="E12" s="42" t="s">
        <v>108</v>
      </c>
      <c r="F12" s="5" t="s">
        <v>7</v>
      </c>
      <c r="G12" s="35">
        <v>164700000</v>
      </c>
      <c r="H12" s="22" t="s">
        <v>37</v>
      </c>
      <c r="I12" s="33">
        <v>0.01</v>
      </c>
      <c r="J12" s="57">
        <v>249700000000</v>
      </c>
      <c r="K12" s="5" t="s">
        <v>41</v>
      </c>
      <c r="L12" s="57">
        <v>5900000000</v>
      </c>
      <c r="M12" s="57">
        <v>3780000000</v>
      </c>
      <c r="N12" s="33">
        <v>0.64</v>
      </c>
      <c r="O12" s="33">
        <v>0.42699999999999999</v>
      </c>
      <c r="P12" s="5">
        <v>991</v>
      </c>
      <c r="Q12" s="5">
        <v>519</v>
      </c>
      <c r="R12" s="5">
        <v>103451</v>
      </c>
      <c r="S12" s="38">
        <f t="shared" si="2"/>
        <v>65.901499999999999</v>
      </c>
      <c r="T12" s="38">
        <f t="shared" si="3"/>
        <v>11.6775</v>
      </c>
      <c r="U12" s="38">
        <f t="shared" si="0"/>
        <v>1717.2865999999999</v>
      </c>
      <c r="V12" s="38">
        <f t="shared" si="1"/>
        <v>1794.8655999999999</v>
      </c>
      <c r="W12" s="5" t="s">
        <v>80</v>
      </c>
      <c r="Y12" s="7" t="s">
        <v>27</v>
      </c>
    </row>
    <row r="13" spans="1:27" s="5" customFormat="1" ht="28.05" customHeight="1" x14ac:dyDescent="0.3">
      <c r="A13" s="5">
        <v>11</v>
      </c>
      <c r="B13" s="27" t="s">
        <v>28</v>
      </c>
      <c r="C13" s="41" t="s">
        <v>12</v>
      </c>
      <c r="D13" s="43" t="s">
        <v>35</v>
      </c>
      <c r="E13" s="43" t="s">
        <v>108</v>
      </c>
      <c r="F13" s="27" t="s">
        <v>7</v>
      </c>
      <c r="G13" s="56">
        <v>2300000</v>
      </c>
      <c r="H13" s="30" t="s">
        <v>39</v>
      </c>
      <c r="I13" s="23">
        <v>1.7999999999999999E-2</v>
      </c>
      <c r="J13" s="57">
        <v>17400000000</v>
      </c>
      <c r="K13" s="5" t="s">
        <v>43</v>
      </c>
      <c r="L13" s="57">
        <v>951000000</v>
      </c>
      <c r="M13" s="57">
        <v>352000000</v>
      </c>
      <c r="N13" s="33">
        <v>0.37</v>
      </c>
      <c r="O13" s="33">
        <v>0.42</v>
      </c>
      <c r="P13" s="5">
        <v>384</v>
      </c>
      <c r="Q13" s="5">
        <v>9</v>
      </c>
      <c r="R13" s="5">
        <v>110</v>
      </c>
      <c r="S13" s="38">
        <f t="shared" si="2"/>
        <v>25.536000000000001</v>
      </c>
      <c r="T13" s="38">
        <f t="shared" si="3"/>
        <v>0.20249999999999999</v>
      </c>
      <c r="U13" s="38">
        <f t="shared" si="0"/>
        <v>1.8260000000000001</v>
      </c>
      <c r="V13" s="38">
        <f t="shared" si="1"/>
        <v>27.564500000000002</v>
      </c>
      <c r="W13" s="39" t="s">
        <v>81</v>
      </c>
      <c r="Y13" s="7" t="s">
        <v>18</v>
      </c>
    </row>
    <row r="14" spans="1:27" s="5" customFormat="1" ht="34.950000000000003" customHeight="1" x14ac:dyDescent="0.3">
      <c r="A14" s="5">
        <v>12</v>
      </c>
      <c r="B14" s="27" t="s">
        <v>45</v>
      </c>
      <c r="C14" s="41" t="s">
        <v>12</v>
      </c>
      <c r="D14" s="41" t="s">
        <v>34</v>
      </c>
      <c r="E14" s="41" t="s">
        <v>34</v>
      </c>
      <c r="F14" s="27" t="s">
        <v>7</v>
      </c>
      <c r="G14" s="35">
        <v>29300000</v>
      </c>
      <c r="H14" s="5" t="s">
        <v>38</v>
      </c>
      <c r="I14" s="40">
        <v>1.0999999999999999E-2</v>
      </c>
      <c r="J14" s="57">
        <v>24500000000</v>
      </c>
      <c r="K14" s="5" t="s">
        <v>42</v>
      </c>
      <c r="L14" s="57">
        <v>1540000000</v>
      </c>
      <c r="M14" s="57">
        <v>1070000000</v>
      </c>
      <c r="N14" s="33">
        <v>0.69699999999999995</v>
      </c>
      <c r="O14" s="37">
        <v>0.1</v>
      </c>
      <c r="P14" s="25">
        <v>500</v>
      </c>
      <c r="Q14" s="5">
        <v>364</v>
      </c>
      <c r="R14" s="5">
        <v>8642</v>
      </c>
      <c r="S14" s="38">
        <f t="shared" si="2"/>
        <v>33.25</v>
      </c>
      <c r="T14" s="38">
        <f t="shared" si="3"/>
        <v>8.19</v>
      </c>
      <c r="U14" s="38">
        <f t="shared" si="0"/>
        <v>143.4572</v>
      </c>
      <c r="V14" s="38">
        <f t="shared" si="1"/>
        <v>184.8972</v>
      </c>
      <c r="W14" s="5" t="s">
        <v>131</v>
      </c>
      <c r="Y14" s="21" t="s">
        <v>82</v>
      </c>
      <c r="Z14" s="7"/>
    </row>
    <row r="15" spans="1:27" s="5" customFormat="1" ht="25.95" customHeight="1" x14ac:dyDescent="0.3">
      <c r="A15" s="5">
        <v>13</v>
      </c>
      <c r="B15" s="5" t="s">
        <v>46</v>
      </c>
      <c r="C15" s="41" t="s">
        <v>12</v>
      </c>
      <c r="D15" s="42" t="s">
        <v>33</v>
      </c>
      <c r="E15" s="42" t="s">
        <v>108</v>
      </c>
      <c r="F15" s="5" t="s">
        <v>9</v>
      </c>
      <c r="G15" s="35">
        <v>17100000</v>
      </c>
      <c r="H15" s="5" t="s">
        <v>39</v>
      </c>
      <c r="I15" s="33">
        <v>0.03</v>
      </c>
      <c r="J15" s="57">
        <v>25800000000</v>
      </c>
      <c r="K15" s="5" t="s">
        <v>42</v>
      </c>
      <c r="L15" s="57">
        <v>1150000000</v>
      </c>
      <c r="M15" s="57">
        <v>218000000</v>
      </c>
      <c r="N15" s="33">
        <v>0.19</v>
      </c>
      <c r="O15" s="37">
        <v>0.2</v>
      </c>
      <c r="P15" s="5">
        <v>310</v>
      </c>
      <c r="Q15" s="5">
        <v>44</v>
      </c>
      <c r="R15" s="5">
        <v>214</v>
      </c>
      <c r="S15" s="38">
        <f t="shared" si="2"/>
        <v>20.615000000000002</v>
      </c>
      <c r="T15" s="38">
        <f t="shared" si="3"/>
        <v>0.99</v>
      </c>
      <c r="U15" s="38">
        <f t="shared" si="0"/>
        <v>3.5524</v>
      </c>
      <c r="V15" s="38">
        <f t="shared" si="1"/>
        <v>25.157399999999999</v>
      </c>
      <c r="Y15" s="21" t="s">
        <v>84</v>
      </c>
    </row>
    <row r="16" spans="1:27" s="6" customFormat="1" ht="28.05" customHeight="1" x14ac:dyDescent="0.3">
      <c r="A16" s="6">
        <v>14</v>
      </c>
      <c r="B16" s="26" t="s">
        <v>32</v>
      </c>
      <c r="C16" s="41" t="s">
        <v>12</v>
      </c>
      <c r="D16" s="41" t="s">
        <v>34</v>
      </c>
      <c r="E16" s="41" t="s">
        <v>34</v>
      </c>
      <c r="F16" s="27" t="s">
        <v>7</v>
      </c>
      <c r="G16" s="35">
        <v>44200000</v>
      </c>
      <c r="H16" s="5" t="s">
        <v>38</v>
      </c>
      <c r="I16" s="23">
        <v>3.3000000000000002E-2</v>
      </c>
      <c r="J16" s="57">
        <v>25900000000</v>
      </c>
      <c r="K16" s="5" t="s">
        <v>42</v>
      </c>
      <c r="L16" s="57">
        <v>1600000000</v>
      </c>
      <c r="M16" s="57">
        <v>688000000</v>
      </c>
      <c r="N16" s="33">
        <v>0.43</v>
      </c>
      <c r="O16" s="33">
        <v>0.45</v>
      </c>
      <c r="P16" s="5">
        <v>2000</v>
      </c>
      <c r="Q16" s="93">
        <v>60</v>
      </c>
      <c r="R16" s="27">
        <v>901</v>
      </c>
      <c r="S16" s="38">
        <f t="shared" si="2"/>
        <v>133</v>
      </c>
      <c r="T16" s="38">
        <f t="shared" si="3"/>
        <v>1.3499999999999999</v>
      </c>
      <c r="U16" s="38">
        <f t="shared" si="0"/>
        <v>14.9566</v>
      </c>
      <c r="V16" s="38">
        <f t="shared" si="1"/>
        <v>149.3066</v>
      </c>
      <c r="W16" s="32" t="s">
        <v>129</v>
      </c>
      <c r="X16" s="5"/>
      <c r="Y16" s="36" t="s">
        <v>104</v>
      </c>
      <c r="Z16" s="7"/>
    </row>
    <row r="17" spans="1:26" s="6" customFormat="1" ht="28.05" customHeight="1" x14ac:dyDescent="0.3">
      <c r="B17" s="26"/>
      <c r="C17" s="41"/>
      <c r="D17" s="31"/>
      <c r="E17" s="31"/>
      <c r="F17" s="27"/>
      <c r="G17" s="5"/>
      <c r="H17" s="5"/>
      <c r="I17" s="23"/>
      <c r="J17" s="5"/>
      <c r="K17" s="5"/>
      <c r="L17" s="5"/>
      <c r="M17" s="5"/>
      <c r="N17" s="33"/>
      <c r="O17" s="5"/>
      <c r="P17" s="5"/>
      <c r="Q17" s="27"/>
      <c r="R17" s="27"/>
      <c r="S17" s="5"/>
      <c r="T17" s="5"/>
      <c r="U17" s="5"/>
      <c r="V17" s="5"/>
      <c r="W17" s="5"/>
      <c r="X17" s="5"/>
      <c r="Y17" s="5"/>
      <c r="Z17" s="7"/>
    </row>
    <row r="18" spans="1:26" s="6" customFormat="1" ht="28.05" customHeight="1" thickBot="1" x14ac:dyDescent="0.35">
      <c r="A18" s="4" t="s">
        <v>94</v>
      </c>
      <c r="B18" s="26"/>
      <c r="C18" s="41"/>
      <c r="E18" s="125" t="s">
        <v>101</v>
      </c>
      <c r="F18" s="62" t="s">
        <v>95</v>
      </c>
      <c r="G18" s="58">
        <f>MAX(G3:G16)</f>
        <v>200000000</v>
      </c>
      <c r="H18" s="5"/>
      <c r="I18" s="23"/>
      <c r="J18" s="65">
        <f>MAX(J3:J16)</f>
        <v>375800000000</v>
      </c>
      <c r="K18" s="5"/>
      <c r="L18" s="68">
        <f t="shared" ref="L18:R18" si="4">MAX(L3:L16)</f>
        <v>13700000000</v>
      </c>
      <c r="M18" s="69">
        <f t="shared" si="4"/>
        <v>10500000000</v>
      </c>
      <c r="N18" s="83">
        <f t="shared" si="4"/>
        <v>0.77</v>
      </c>
      <c r="O18" s="70">
        <f t="shared" si="4"/>
        <v>0.8</v>
      </c>
      <c r="P18" s="86">
        <f t="shared" si="4"/>
        <v>4201</v>
      </c>
      <c r="Q18" s="86">
        <f t="shared" si="4"/>
        <v>2609</v>
      </c>
      <c r="R18" s="71">
        <f t="shared" si="4"/>
        <v>103451</v>
      </c>
      <c r="S18" s="5"/>
      <c r="T18" s="5"/>
      <c r="U18" s="5"/>
      <c r="V18" s="5"/>
      <c r="W18" s="5"/>
      <c r="X18" s="5"/>
      <c r="Y18" s="5"/>
      <c r="Z18" s="7"/>
    </row>
    <row r="19" spans="1:26" s="6" customFormat="1" ht="28.05" customHeight="1" x14ac:dyDescent="0.3">
      <c r="A19" s="44" t="s">
        <v>86</v>
      </c>
      <c r="B19" s="45">
        <f>COUNT(A3:A16)</f>
        <v>14</v>
      </c>
      <c r="C19" s="41"/>
      <c r="E19" s="126"/>
      <c r="F19" s="63" t="s">
        <v>96</v>
      </c>
      <c r="G19" s="59">
        <f>MIN(G3:G16)</f>
        <v>2300000</v>
      </c>
      <c r="H19" s="5"/>
      <c r="I19" s="23"/>
      <c r="J19" s="66">
        <f>MIN(J3:J16)</f>
        <v>6300000000</v>
      </c>
      <c r="K19" s="5"/>
      <c r="L19" s="72">
        <f t="shared" ref="L19:R19" si="5">MIN(L3:L16)</f>
        <v>591500000</v>
      </c>
      <c r="M19" s="73">
        <f t="shared" si="5"/>
        <v>91700000</v>
      </c>
      <c r="N19" s="84">
        <f t="shared" si="5"/>
        <v>0.15</v>
      </c>
      <c r="O19" s="74">
        <f t="shared" si="5"/>
        <v>0.1</v>
      </c>
      <c r="P19" s="87">
        <f t="shared" si="5"/>
        <v>94</v>
      </c>
      <c r="Q19" s="87">
        <f t="shared" si="5"/>
        <v>5</v>
      </c>
      <c r="R19" s="75">
        <f t="shared" si="5"/>
        <v>38</v>
      </c>
      <c r="S19" s="5"/>
      <c r="T19" s="5"/>
      <c r="U19" s="5"/>
      <c r="V19" s="5"/>
      <c r="W19" s="5"/>
      <c r="X19" s="5"/>
      <c r="Y19" s="5"/>
      <c r="Z19" s="7"/>
    </row>
    <row r="20" spans="1:26" s="6" customFormat="1" ht="28.05" customHeight="1" x14ac:dyDescent="0.3">
      <c r="A20" s="46" t="s">
        <v>85</v>
      </c>
      <c r="B20" s="47"/>
      <c r="C20" s="41"/>
      <c r="E20" s="126"/>
      <c r="F20" s="63" t="s">
        <v>100</v>
      </c>
      <c r="G20" s="59">
        <f>G18-G19</f>
        <v>197700000</v>
      </c>
      <c r="H20" s="55"/>
      <c r="I20" s="55"/>
      <c r="J20" s="66">
        <f t="shared" ref="J20:M20" si="6">J18-J19</f>
        <v>369500000000</v>
      </c>
      <c r="K20" s="55"/>
      <c r="L20" s="72">
        <f t="shared" si="6"/>
        <v>13108500000</v>
      </c>
      <c r="M20" s="73">
        <f t="shared" si="6"/>
        <v>10408300000</v>
      </c>
      <c r="N20" s="84">
        <f t="shared" ref="N20" si="7">N18-N19</f>
        <v>0.62</v>
      </c>
      <c r="O20" s="74">
        <f t="shared" ref="O20" si="8">O18-O19</f>
        <v>0.70000000000000007</v>
      </c>
      <c r="P20" s="88">
        <f t="shared" ref="P20" si="9">P18-P19</f>
        <v>4107</v>
      </c>
      <c r="Q20" s="88">
        <f t="shared" ref="Q20:R20" si="10">Q18-Q19</f>
        <v>2604</v>
      </c>
      <c r="R20" s="76">
        <f t="shared" si="10"/>
        <v>103413</v>
      </c>
      <c r="S20" s="5"/>
      <c r="T20" s="5"/>
      <c r="U20" s="5"/>
      <c r="V20" s="5"/>
      <c r="W20" s="5"/>
      <c r="X20" s="5"/>
      <c r="Y20" s="5"/>
      <c r="Z20" s="7"/>
    </row>
    <row r="21" spans="1:26" s="6" customFormat="1" ht="28.05" customHeight="1" x14ac:dyDescent="0.3">
      <c r="A21" s="48" t="s">
        <v>88</v>
      </c>
      <c r="B21" s="47">
        <v>11</v>
      </c>
      <c r="C21" s="30"/>
      <c r="E21" s="127"/>
      <c r="F21" s="64" t="s">
        <v>97</v>
      </c>
      <c r="G21" s="60">
        <f>AVERAGE(G3:G16)</f>
        <v>48110714.285714284</v>
      </c>
      <c r="H21" s="5"/>
      <c r="I21" s="23"/>
      <c r="J21" s="67">
        <f>AVERAGE(J3:J16)</f>
        <v>69014285714.285721</v>
      </c>
      <c r="K21" s="5"/>
      <c r="L21" s="77">
        <f t="shared" ref="L21:R21" si="11">AVERAGE(L3:L16)</f>
        <v>2945649285.7142859</v>
      </c>
      <c r="M21" s="78">
        <f t="shared" si="11"/>
        <v>1643422464.5714285</v>
      </c>
      <c r="N21" s="85">
        <f t="shared" si="11"/>
        <v>0.42885714285714288</v>
      </c>
      <c r="O21" s="79">
        <f t="shared" si="11"/>
        <v>0.35622455329362612</v>
      </c>
      <c r="P21" s="89">
        <f t="shared" si="11"/>
        <v>1297.7857142857142</v>
      </c>
      <c r="Q21" s="89">
        <f t="shared" si="11"/>
        <v>314.5</v>
      </c>
      <c r="R21" s="80">
        <f t="shared" si="11"/>
        <v>8787.7857142857138</v>
      </c>
      <c r="S21" s="5"/>
      <c r="T21" s="5"/>
      <c r="U21" s="5"/>
      <c r="V21" s="5"/>
      <c r="W21" s="32"/>
      <c r="X21" s="5"/>
      <c r="Y21" s="5"/>
      <c r="Z21" s="7"/>
    </row>
    <row r="22" spans="1:26" s="6" customFormat="1" ht="28.05" customHeight="1" x14ac:dyDescent="0.3">
      <c r="A22" s="48" t="s">
        <v>89</v>
      </c>
      <c r="B22" s="47">
        <v>2</v>
      </c>
      <c r="C22" s="30"/>
      <c r="E22" s="125" t="s">
        <v>102</v>
      </c>
      <c r="F22" s="62" t="s">
        <v>95</v>
      </c>
      <c r="G22" s="58">
        <f>MAX(G3,G4)</f>
        <v>18630000</v>
      </c>
      <c r="H22" s="82"/>
      <c r="I22" s="82"/>
      <c r="J22" s="65">
        <f>MAX(J3,J4)</f>
        <v>17900000000</v>
      </c>
      <c r="K22" s="82"/>
      <c r="L22" s="65">
        <f t="shared" ref="L22:R22" si="12">MAX(L3,L4)</f>
        <v>4090000000</v>
      </c>
      <c r="M22" s="90">
        <f t="shared" si="12"/>
        <v>1600000000</v>
      </c>
      <c r="N22" s="83">
        <f t="shared" si="12"/>
        <v>0.28100000000000003</v>
      </c>
      <c r="O22" s="83">
        <f t="shared" si="12"/>
        <v>0.14000000000000001</v>
      </c>
      <c r="P22" s="58">
        <f t="shared" si="12"/>
        <v>1231</v>
      </c>
      <c r="Q22" s="58">
        <f t="shared" si="12"/>
        <v>94</v>
      </c>
      <c r="R22" s="58">
        <f t="shared" si="12"/>
        <v>287</v>
      </c>
      <c r="S22" s="5"/>
      <c r="T22" s="5"/>
      <c r="U22" s="5"/>
      <c r="V22" s="5"/>
      <c r="W22" s="32"/>
      <c r="X22" s="5"/>
      <c r="Y22" s="5"/>
      <c r="Z22" s="7"/>
    </row>
    <row r="23" spans="1:26" s="6" customFormat="1" ht="28.05" customHeight="1" x14ac:dyDescent="0.3">
      <c r="A23" s="48" t="s">
        <v>90</v>
      </c>
      <c r="B23" s="47">
        <v>1</v>
      </c>
      <c r="C23" s="30"/>
      <c r="E23" s="126"/>
      <c r="F23" s="63" t="s">
        <v>96</v>
      </c>
      <c r="G23" s="61">
        <f>MIN(G3:G4)</f>
        <v>16530000</v>
      </c>
      <c r="H23" s="82"/>
      <c r="I23" s="82"/>
      <c r="J23" s="81">
        <f>MIN(J3:J4)</f>
        <v>6300000000</v>
      </c>
      <c r="K23" s="82"/>
      <c r="L23" s="81">
        <f t="shared" ref="L23:R23" si="13">MIN(L3:L4)</f>
        <v>1680000000</v>
      </c>
      <c r="M23" s="91">
        <f t="shared" si="13"/>
        <v>472000000</v>
      </c>
      <c r="N23" s="84">
        <f t="shared" si="13"/>
        <v>0.182</v>
      </c>
      <c r="O23" s="84">
        <f t="shared" si="13"/>
        <v>0.10299999999999999</v>
      </c>
      <c r="P23" s="61">
        <f t="shared" si="13"/>
        <v>94</v>
      </c>
      <c r="Q23" s="61">
        <f t="shared" si="13"/>
        <v>40</v>
      </c>
      <c r="R23" s="61">
        <f t="shared" si="13"/>
        <v>38</v>
      </c>
      <c r="S23" s="5"/>
      <c r="T23" s="5"/>
      <c r="U23" s="5"/>
      <c r="V23" s="5"/>
      <c r="W23" s="32"/>
      <c r="X23" s="5"/>
      <c r="Y23" s="5"/>
      <c r="Z23" s="7"/>
    </row>
    <row r="24" spans="1:26" s="6" customFormat="1" ht="28.05" customHeight="1" x14ac:dyDescent="0.3">
      <c r="A24" s="49" t="s">
        <v>87</v>
      </c>
      <c r="B24" s="47"/>
      <c r="C24" s="30"/>
      <c r="E24" s="126"/>
      <c r="F24" s="63" t="s">
        <v>100</v>
      </c>
      <c r="G24" s="61">
        <f>G22-G23</f>
        <v>2100000</v>
      </c>
      <c r="H24" s="82"/>
      <c r="I24" s="82"/>
      <c r="J24" s="81">
        <f t="shared" ref="J24:R24" si="14">J22-J23</f>
        <v>11600000000</v>
      </c>
      <c r="K24" s="82"/>
      <c r="L24" s="81">
        <f t="shared" si="14"/>
        <v>2410000000</v>
      </c>
      <c r="M24" s="91">
        <f t="shared" si="14"/>
        <v>1128000000</v>
      </c>
      <c r="N24" s="84">
        <f t="shared" si="14"/>
        <v>9.9000000000000032E-2</v>
      </c>
      <c r="O24" s="84">
        <f t="shared" si="14"/>
        <v>3.7000000000000019E-2</v>
      </c>
      <c r="P24" s="61">
        <f t="shared" si="14"/>
        <v>1137</v>
      </c>
      <c r="Q24" s="61">
        <f t="shared" si="14"/>
        <v>54</v>
      </c>
      <c r="R24" s="61">
        <f t="shared" si="14"/>
        <v>249</v>
      </c>
      <c r="S24" s="5"/>
      <c r="T24" s="5"/>
      <c r="U24" s="5"/>
      <c r="V24" s="5"/>
      <c r="W24" s="32"/>
      <c r="X24" s="5"/>
      <c r="Y24" s="5"/>
      <c r="Z24" s="7"/>
    </row>
    <row r="25" spans="1:26" s="6" customFormat="1" ht="28.05" customHeight="1" x14ac:dyDescent="0.3">
      <c r="A25" s="50" t="s">
        <v>12</v>
      </c>
      <c r="B25" s="51">
        <f>COUNTIF(C3:C16,"Emerging")</f>
        <v>12</v>
      </c>
      <c r="C25" s="30"/>
      <c r="E25" s="127"/>
      <c r="F25" s="64" t="s">
        <v>97</v>
      </c>
      <c r="G25" s="60">
        <f>AVERAGE(G3:G4)</f>
        <v>17580000</v>
      </c>
      <c r="H25" s="82"/>
      <c r="I25" s="82"/>
      <c r="J25" s="67">
        <f>AVERAGE(J3:J4)</f>
        <v>12100000000</v>
      </c>
      <c r="K25" s="82"/>
      <c r="L25" s="67">
        <f t="shared" ref="L25:R25" si="15">AVERAGE(L3:L4)</f>
        <v>2885000000</v>
      </c>
      <c r="M25" s="92">
        <f t="shared" si="15"/>
        <v>1036000000</v>
      </c>
      <c r="N25" s="85">
        <f t="shared" si="15"/>
        <v>0.23150000000000001</v>
      </c>
      <c r="O25" s="85">
        <f t="shared" si="15"/>
        <v>0.1215</v>
      </c>
      <c r="P25" s="60">
        <f t="shared" si="15"/>
        <v>662.5</v>
      </c>
      <c r="Q25" s="60">
        <f t="shared" si="15"/>
        <v>67</v>
      </c>
      <c r="R25" s="60">
        <f t="shared" si="15"/>
        <v>162.5</v>
      </c>
      <c r="S25" s="5"/>
      <c r="T25" s="5"/>
      <c r="U25" s="5"/>
      <c r="V25" s="5"/>
      <c r="W25" s="32"/>
      <c r="X25" s="5"/>
      <c r="Y25" s="5"/>
      <c r="Z25" s="7"/>
    </row>
    <row r="26" spans="1:26" s="6" customFormat="1" ht="28.05" customHeight="1" x14ac:dyDescent="0.3">
      <c r="A26" s="50" t="s">
        <v>6</v>
      </c>
      <c r="B26" s="47">
        <f>COUNTIF(C3:C16, "Nascent")</f>
        <v>2</v>
      </c>
      <c r="C26" s="30"/>
      <c r="E26" s="125" t="s">
        <v>103</v>
      </c>
      <c r="F26" s="62" t="s">
        <v>95</v>
      </c>
      <c r="G26" s="58">
        <f>MAX(G5:G16)</f>
        <v>200000000</v>
      </c>
      <c r="H26" s="82"/>
      <c r="I26" s="82"/>
      <c r="J26" s="65">
        <f>MAX(J5:J16)</f>
        <v>375800000000</v>
      </c>
      <c r="K26" s="82"/>
      <c r="L26" s="65">
        <f t="shared" ref="L26:R26" si="16">MAX(L5:L16)</f>
        <v>13700000000</v>
      </c>
      <c r="M26" s="90">
        <f t="shared" si="16"/>
        <v>10500000000</v>
      </c>
      <c r="N26" s="83">
        <f t="shared" si="16"/>
        <v>0.77</v>
      </c>
      <c r="O26" s="83">
        <f t="shared" si="16"/>
        <v>0.8</v>
      </c>
      <c r="P26" s="58">
        <f t="shared" si="16"/>
        <v>4201</v>
      </c>
      <c r="Q26" s="58">
        <f t="shared" si="16"/>
        <v>2609</v>
      </c>
      <c r="R26" s="58">
        <f t="shared" si="16"/>
        <v>103451</v>
      </c>
      <c r="S26" s="5"/>
      <c r="T26" s="5"/>
      <c r="U26" s="5"/>
      <c r="V26" s="5"/>
      <c r="W26" s="32"/>
      <c r="X26" s="5"/>
      <c r="Y26" s="5"/>
      <c r="Z26" s="7"/>
    </row>
    <row r="27" spans="1:26" s="6" customFormat="1" ht="28.05" customHeight="1" x14ac:dyDescent="0.3">
      <c r="A27" s="46" t="s">
        <v>91</v>
      </c>
      <c r="B27" s="47"/>
      <c r="C27" s="30"/>
      <c r="E27" s="126"/>
      <c r="F27" s="63" t="s">
        <v>96</v>
      </c>
      <c r="G27" s="61">
        <f>MIN(G5:G16)</f>
        <v>2300000</v>
      </c>
      <c r="H27" s="82"/>
      <c r="I27" s="82"/>
      <c r="J27" s="81">
        <f>MIN(J5:J16)</f>
        <v>9100000000</v>
      </c>
      <c r="K27" s="82"/>
      <c r="L27" s="81">
        <f t="shared" ref="L27:R27" si="17">MIN(L5:L16)</f>
        <v>591500000</v>
      </c>
      <c r="M27" s="91">
        <f t="shared" si="17"/>
        <v>91700000</v>
      </c>
      <c r="N27" s="84">
        <f t="shared" si="17"/>
        <v>0.15</v>
      </c>
      <c r="O27" s="84">
        <f t="shared" si="17"/>
        <v>0.1</v>
      </c>
      <c r="P27" s="61">
        <f t="shared" si="17"/>
        <v>189</v>
      </c>
      <c r="Q27" s="61">
        <f t="shared" si="17"/>
        <v>5</v>
      </c>
      <c r="R27" s="61">
        <f t="shared" si="17"/>
        <v>110</v>
      </c>
      <c r="S27" s="5"/>
      <c r="T27" s="5"/>
      <c r="U27" s="5"/>
      <c r="V27" s="5"/>
      <c r="W27" s="32"/>
      <c r="X27" s="5"/>
      <c r="Y27" s="5"/>
      <c r="Z27" s="7"/>
    </row>
    <row r="28" spans="1:26" s="6" customFormat="1" x14ac:dyDescent="0.3">
      <c r="A28" s="50" t="s">
        <v>34</v>
      </c>
      <c r="B28" s="47">
        <f>COUNTIF(D3:D16, "low")</f>
        <v>5</v>
      </c>
      <c r="C28" s="30"/>
      <c r="E28" s="126"/>
      <c r="F28" s="63" t="s">
        <v>100</v>
      </c>
      <c r="G28" s="61">
        <f>G26-G27</f>
        <v>197700000</v>
      </c>
      <c r="H28" s="82"/>
      <c r="I28" s="82"/>
      <c r="J28" s="81">
        <f t="shared" ref="J28:R28" si="18">J26-J27</f>
        <v>366700000000</v>
      </c>
      <c r="K28" s="82"/>
      <c r="L28" s="81">
        <f t="shared" si="18"/>
        <v>13108500000</v>
      </c>
      <c r="M28" s="91">
        <f t="shared" si="18"/>
        <v>10408300000</v>
      </c>
      <c r="N28" s="84">
        <f t="shared" si="18"/>
        <v>0.62</v>
      </c>
      <c r="O28" s="84">
        <f t="shared" si="18"/>
        <v>0.70000000000000007</v>
      </c>
      <c r="P28" s="61">
        <f t="shared" si="18"/>
        <v>4012</v>
      </c>
      <c r="Q28" s="61">
        <f t="shared" si="18"/>
        <v>2604</v>
      </c>
      <c r="R28" s="61">
        <f t="shared" si="18"/>
        <v>103341</v>
      </c>
      <c r="S28" s="5"/>
      <c r="T28" s="5"/>
      <c r="U28" s="5"/>
      <c r="V28" s="5"/>
      <c r="W28" s="32"/>
      <c r="X28" s="5"/>
      <c r="Y28" s="5"/>
      <c r="Z28" s="7"/>
    </row>
    <row r="29" spans="1:26" s="6" customFormat="1" x14ac:dyDescent="0.3">
      <c r="A29" s="50" t="s">
        <v>33</v>
      </c>
      <c r="B29" s="47">
        <f>COUNTIF(D3:D16, "lower-middle")</f>
        <v>8</v>
      </c>
      <c r="C29" s="30"/>
      <c r="E29" s="127"/>
      <c r="F29" s="64" t="s">
        <v>97</v>
      </c>
      <c r="G29" s="60">
        <f>AVERAGE(G5:G16)</f>
        <v>53199166.666666664</v>
      </c>
      <c r="H29" s="82"/>
      <c r="I29" s="82"/>
      <c r="J29" s="67">
        <f>AVERAGE(J5:J16)</f>
        <v>78500000000</v>
      </c>
      <c r="K29" s="82"/>
      <c r="L29" s="67">
        <f>AVERAGE(L5:L16)</f>
        <v>2955757500</v>
      </c>
      <c r="M29" s="92">
        <f>AVERAGE(M5:M16)</f>
        <v>1744659542</v>
      </c>
      <c r="N29" s="85">
        <f>AVERAGE(N5:N16)</f>
        <v>0.46175000000000005</v>
      </c>
      <c r="O29" s="85">
        <f>AVERAGE(O5:O16)</f>
        <v>0.39534531217589719</v>
      </c>
      <c r="P29" s="60">
        <f>AVERAGE(P5:P16)</f>
        <v>1403.6666666666667</v>
      </c>
      <c r="Q29" s="60">
        <f>AVERAGE(Q7:Q8)</f>
        <v>183.5</v>
      </c>
      <c r="R29" s="60">
        <f>AVERAGE(R5:R16)</f>
        <v>10225.333333333334</v>
      </c>
      <c r="S29" s="5"/>
      <c r="T29" s="5"/>
      <c r="U29" s="5"/>
      <c r="V29" s="5"/>
      <c r="W29" s="32"/>
      <c r="X29" s="5"/>
      <c r="Y29" s="5"/>
      <c r="Z29" s="7"/>
    </row>
    <row r="30" spans="1:26" s="6" customFormat="1" x14ac:dyDescent="0.3">
      <c r="A30" s="50" t="s">
        <v>35</v>
      </c>
      <c r="B30" s="47">
        <f>COUNTIF(D3:D16,"upper-middle")</f>
        <v>1</v>
      </c>
      <c r="C30" s="30"/>
      <c r="E30" s="125" t="s">
        <v>105</v>
      </c>
      <c r="F30" s="62" t="s">
        <v>95</v>
      </c>
      <c r="G30" s="95">
        <f>MAX(G3,G8,G10,G14,G16)</f>
        <v>57310000</v>
      </c>
      <c r="H30" s="5"/>
      <c r="I30" s="23"/>
      <c r="J30" s="100">
        <f>MAX(J3,J8,J10,J14,J16)</f>
        <v>52100000000</v>
      </c>
      <c r="L30" s="100">
        <f>MAX(L3,L8,L10,L14,L16)</f>
        <v>4090000000</v>
      </c>
      <c r="M30" s="100">
        <f>MAX(M3,M8,M10,M14,M16)</f>
        <v>1600000000</v>
      </c>
      <c r="N30" s="83">
        <f>MAX(N3,N8,N10,N14,N16)</f>
        <v>0.69699999999999995</v>
      </c>
      <c r="O30" s="83">
        <f>MAX(O3,N8,O10,O14,O16)</f>
        <v>0.45</v>
      </c>
      <c r="P30" s="86">
        <f>MAX(P3,P8,P10,P14,P16)</f>
        <v>2000</v>
      </c>
      <c r="Q30" s="86">
        <f>MAX(Q3,Q8,Q10,Q14,Q16)</f>
        <v>364</v>
      </c>
      <c r="R30" s="86">
        <f>MAX(R3,R8,R10,R14,R16)</f>
        <v>8642</v>
      </c>
      <c r="S30" s="5"/>
      <c r="T30" s="5"/>
      <c r="U30" s="5"/>
      <c r="V30" s="5"/>
      <c r="W30" s="32"/>
      <c r="X30" s="5"/>
      <c r="Y30" s="5"/>
      <c r="Z30" s="7"/>
    </row>
    <row r="31" spans="1:26" s="6" customFormat="1" x14ac:dyDescent="0.3">
      <c r="A31" s="50" t="s">
        <v>92</v>
      </c>
      <c r="B31" s="47">
        <f>SUM(B29:B30)</f>
        <v>9</v>
      </c>
      <c r="E31" s="126"/>
      <c r="F31" s="63" t="s">
        <v>96</v>
      </c>
      <c r="G31" s="96">
        <f>MIN(G3,G8,G10,G14,G16)</f>
        <v>12210000</v>
      </c>
      <c r="J31" s="101">
        <f>MIN(J3,J8,J10,J14,J16)</f>
        <v>6300000000</v>
      </c>
      <c r="L31" s="101">
        <f>MIN(L3,L8,L10,L14,L16)</f>
        <v>591500000</v>
      </c>
      <c r="M31" s="101">
        <f>MIN(M3,M8,M10,M14,M16)</f>
        <v>91700000</v>
      </c>
      <c r="N31" s="84">
        <f>MIN(N3,N8,N10,N14,N16)</f>
        <v>0.15</v>
      </c>
      <c r="O31" s="84">
        <f>MIN(O3,N8,O10,O14,O16)</f>
        <v>0.1</v>
      </c>
      <c r="P31" s="87">
        <f>MIN(P3,P8,P10,P14,P16)</f>
        <v>189</v>
      </c>
      <c r="Q31" s="87">
        <f>MIN(Q3,Q8,Q10,Q14,Q16)</f>
        <v>19</v>
      </c>
      <c r="R31" s="87">
        <f>MIN(R3,R8,R10,R14,R16)</f>
        <v>38</v>
      </c>
    </row>
    <row r="32" spans="1:26" ht="16.95" customHeight="1" x14ac:dyDescent="0.3">
      <c r="A32" s="52" t="s">
        <v>93</v>
      </c>
      <c r="B32" s="47"/>
      <c r="E32" s="126"/>
      <c r="F32" s="63" t="s">
        <v>100</v>
      </c>
      <c r="G32" s="97">
        <f>G30-G31</f>
        <v>45100000</v>
      </c>
      <c r="J32" s="102">
        <f>J30-J31</f>
        <v>45800000000</v>
      </c>
      <c r="L32" s="102">
        <f t="shared" ref="L32:R32" si="19">L30-L31</f>
        <v>3498500000</v>
      </c>
      <c r="M32" s="102">
        <f t="shared" si="19"/>
        <v>1508300000</v>
      </c>
      <c r="N32" s="105">
        <f t="shared" si="19"/>
        <v>0.54699999999999993</v>
      </c>
      <c r="O32" s="105">
        <f t="shared" si="19"/>
        <v>0.35</v>
      </c>
      <c r="P32" s="108">
        <f t="shared" si="19"/>
        <v>1811</v>
      </c>
      <c r="Q32" s="108">
        <f t="shared" si="19"/>
        <v>345</v>
      </c>
      <c r="R32" s="108">
        <f t="shared" si="19"/>
        <v>8604</v>
      </c>
    </row>
    <row r="33" spans="1:18" x14ac:dyDescent="0.3">
      <c r="A33" s="53" t="s">
        <v>9</v>
      </c>
      <c r="B33" s="47">
        <f>COUNTIF(F3:F16,"yes")</f>
        <v>3</v>
      </c>
      <c r="E33" s="127"/>
      <c r="F33" s="64" t="s">
        <v>97</v>
      </c>
      <c r="G33" s="99">
        <f>AVERAGEIF($D$3:$D$16,"low",G3:G16)</f>
        <v>32330000</v>
      </c>
      <c r="J33" s="98">
        <f>AVERAGEIF($D$3:$D$16,"low",J3:J16)</f>
        <v>23580000000</v>
      </c>
      <c r="L33" s="104">
        <f t="shared" ref="L33:R33" si="20">AVERAGEIF($D$3:$D$16,"low",L3:L16)</f>
        <v>2000898000</v>
      </c>
      <c r="M33" s="104">
        <f t="shared" si="20"/>
        <v>790182900.79999995</v>
      </c>
      <c r="N33" s="107">
        <f t="shared" si="20"/>
        <v>0.33779999999999999</v>
      </c>
      <c r="O33" s="107">
        <f t="shared" si="20"/>
        <v>0.26542874922215309</v>
      </c>
      <c r="P33" s="121">
        <f t="shared" si="20"/>
        <v>834.4</v>
      </c>
      <c r="Q33" s="103">
        <f t="shared" si="20"/>
        <v>124</v>
      </c>
      <c r="R33" s="103">
        <f t="shared" si="20"/>
        <v>2262.4</v>
      </c>
    </row>
    <row r="34" spans="1:18" ht="16.05" customHeight="1" thickBot="1" x14ac:dyDescent="0.35">
      <c r="A34" s="54" t="s">
        <v>7</v>
      </c>
      <c r="B34" s="19">
        <f>COUNTIF(F3:F16,"no")</f>
        <v>11</v>
      </c>
      <c r="E34" s="128" t="s">
        <v>106</v>
      </c>
      <c r="F34" s="62" t="s">
        <v>95</v>
      </c>
      <c r="G34" s="111">
        <f>MAX(G4,G5,G6,G7,G9,G11,G12,G13,G15)</f>
        <v>200000000</v>
      </c>
      <c r="H34" s="112"/>
      <c r="I34" s="113"/>
      <c r="J34" s="110">
        <f>MAX(J4,J5,J6,J7,J9,J11,J12,J13,J15)</f>
        <v>375800000000</v>
      </c>
      <c r="L34" s="115">
        <v>200000000</v>
      </c>
      <c r="M34" s="110">
        <f t="shared" ref="M34:R34" si="21">MAX(M4,M5,M6,M7,M9,M11,M12,M13,M15)</f>
        <v>10500000000</v>
      </c>
      <c r="N34" s="117">
        <f t="shared" si="21"/>
        <v>0.77</v>
      </c>
      <c r="O34" s="117">
        <f t="shared" si="21"/>
        <v>0.8</v>
      </c>
      <c r="P34" s="118">
        <f t="shared" si="21"/>
        <v>4201</v>
      </c>
      <c r="Q34" s="118">
        <f t="shared" si="21"/>
        <v>2609</v>
      </c>
      <c r="R34" s="118">
        <f t="shared" si="21"/>
        <v>103451</v>
      </c>
    </row>
    <row r="35" spans="1:18" x14ac:dyDescent="0.3">
      <c r="E35" s="129"/>
      <c r="F35" s="63" t="s">
        <v>96</v>
      </c>
      <c r="G35" s="97">
        <f>MIN(G4,G5,G6,G7,G9,G11,G12,G13,G15)</f>
        <v>2300000</v>
      </c>
      <c r="H35" s="112"/>
      <c r="I35" s="113"/>
      <c r="J35" s="102">
        <f>MIN(J4,J5,J6,J7,J9,J11,J12,J13,J15)</f>
        <v>16400000000</v>
      </c>
      <c r="L35" s="106">
        <v>2300000</v>
      </c>
      <c r="M35" s="102">
        <f>MIN(M4,M5,M6,M7,M9,M11,M12,M13,M15)</f>
        <v>218000000</v>
      </c>
      <c r="N35" s="105">
        <f>MIN(N4,N5,N6,N7,N9,N11,N12,N13,N15)</f>
        <v>0.19</v>
      </c>
      <c r="O35" s="105">
        <f>MIN(O4,O5,O6,O7,O9,O11,O12,O13,O15)</f>
        <v>0.10299999999999999</v>
      </c>
      <c r="P35" s="119">
        <f>MIN(P4, P5,P6,P7,P9,P11,P12,P13,P15)</f>
        <v>94</v>
      </c>
      <c r="Q35" s="119">
        <f>MIN(Q4, Q5,Q6,Q7,Q9,Q11,Q12,Q13,Q15)</f>
        <v>5</v>
      </c>
      <c r="R35" s="119">
        <f>MIN(R4,R5,R6,R7,R9,R11,R12,R13,R15)</f>
        <v>110</v>
      </c>
    </row>
    <row r="36" spans="1:18" x14ac:dyDescent="0.3">
      <c r="E36" s="129"/>
      <c r="F36" s="63" t="s">
        <v>100</v>
      </c>
      <c r="G36" s="97">
        <f>G34-G35</f>
        <v>197700000</v>
      </c>
      <c r="H36" s="112"/>
      <c r="I36" s="113"/>
      <c r="J36" s="102">
        <f>J34-J35</f>
        <v>359400000000</v>
      </c>
      <c r="L36" s="106">
        <v>197700000</v>
      </c>
      <c r="M36" s="102">
        <f t="shared" ref="M36:R36" si="22">M34-M35</f>
        <v>10282000000</v>
      </c>
      <c r="N36" s="105">
        <f t="shared" si="22"/>
        <v>0.58000000000000007</v>
      </c>
      <c r="O36" s="105">
        <f t="shared" si="22"/>
        <v>0.69700000000000006</v>
      </c>
      <c r="P36" s="119">
        <f t="shared" si="22"/>
        <v>4107</v>
      </c>
      <c r="Q36" s="119">
        <f t="shared" si="22"/>
        <v>2604</v>
      </c>
      <c r="R36" s="119">
        <f t="shared" si="22"/>
        <v>103341</v>
      </c>
    </row>
    <row r="37" spans="1:18" ht="13.95" customHeight="1" x14ac:dyDescent="0.3">
      <c r="E37" s="130"/>
      <c r="F37" s="64" t="s">
        <v>97</v>
      </c>
      <c r="G37" s="99">
        <f>AVERAGEIF($E$3:$E$16,"middle",G3:G16)</f>
        <v>56877777.777777776</v>
      </c>
      <c r="H37" s="114"/>
      <c r="I37" s="114"/>
      <c r="J37" s="109">
        <f t="shared" ref="J37:R37" si="23">AVERAGEIF($E$3:$E$16,"middle",J3:J16)</f>
        <v>94255555555.555557</v>
      </c>
      <c r="K37" s="114"/>
      <c r="L37" s="109">
        <f t="shared" si="23"/>
        <v>3470511111.1111112</v>
      </c>
      <c r="M37" s="98">
        <f t="shared" si="23"/>
        <v>2117444444.4444444</v>
      </c>
      <c r="N37" s="107">
        <f t="shared" si="23"/>
        <v>0.47944444444444451</v>
      </c>
      <c r="O37" s="107">
        <f t="shared" si="23"/>
        <v>0.40666666666666673</v>
      </c>
      <c r="P37" s="116">
        <f t="shared" si="23"/>
        <v>1555.2222222222222</v>
      </c>
      <c r="Q37" s="116">
        <f t="shared" si="23"/>
        <v>420.33333333333331</v>
      </c>
      <c r="R37" s="116">
        <f t="shared" si="23"/>
        <v>12413</v>
      </c>
    </row>
    <row r="38" spans="1:18" ht="20.399999999999999" x14ac:dyDescent="0.35">
      <c r="G38" s="94"/>
    </row>
  </sheetData>
  <autoFilter ref="B2:Y16" xr:uid="{00000000-0009-0000-0000-000001000000}">
    <filterColumn colId="0">
      <filters>
        <filter val="Kenya"/>
        <filter val="Nigeria"/>
      </filters>
    </filterColumn>
  </autoFilter>
  <mergeCells count="7">
    <mergeCell ref="E26:E29"/>
    <mergeCell ref="E30:E33"/>
    <mergeCell ref="E34:E37"/>
    <mergeCell ref="B1:K1"/>
    <mergeCell ref="L1:R1"/>
    <mergeCell ref="E18:E21"/>
    <mergeCell ref="E22:E25"/>
  </mergeCells>
  <hyperlinks>
    <hyperlink ref="Y5" r:id="rId1" display="https://www.academia.edu/35791749/Nigerias_Private_Healthcare_Market_-_A_Potential_Market_Entry_by_Life_Hospital_Group" xr:uid="{00000000-0004-0000-0100-000000000000}"/>
    <hyperlink ref="Y7" r:id="rId2" display="https://www.pharmaccess.org/wp-content/uploads/2018/01/The-healthcare-system-in-Ghana.pdf" xr:uid="{00000000-0004-0000-0100-000001000000}"/>
    <hyperlink ref="Y3" r:id="rId3" display="https://dhsprogram.com/pubs/pdf/SPA20/SPA20[Oct-7-2015].pdf" xr:uid="{00000000-0004-0000-0100-000002000000}"/>
    <hyperlink ref="Y4" r:id="rId4" display="http://ncuwash.org/newfour/wp-content/uploads/2017/08/Zimbabwe-Service-Availability-and-Readiness-Assessment-Report.pdf" xr:uid="{00000000-0004-0000-0100-000003000000}"/>
    <hyperlink ref="Y8" r:id="rId5" display="https://www.shopsplusproject.org/sites/default/files/resources/Tanzania%20Private%20Sector%20Assessment%202.pdf" xr:uid="{00000000-0004-0000-0100-000004000000}"/>
    <hyperlink ref="Y9" r:id="rId6" xr:uid="{00000000-0004-0000-0100-000005000000}"/>
    <hyperlink ref="Y10" r:id="rId7" display="http://moh.gov.rw/fileadmin/templates/Docs/FINALH_2-1.pdf" xr:uid="{00000000-0004-0000-0100-000006000000}"/>
    <hyperlink ref="Y11" r:id="rId8" display="https://apps.who.int/iris/bitstream/handle/10665/208213/9789290616917_eng.pdf?sequence=1" xr:uid="{00000000-0004-0000-0100-000007000000}"/>
    <hyperlink ref="Y12" r:id="rId9" display="https://dhsprogram.com/pubs/pdf/SPA23/SPA23.pdf" xr:uid="{00000000-0004-0000-0100-000008000000}"/>
    <hyperlink ref="Y13" r:id="rId10" xr:uid="{00000000-0004-0000-0100-000009000000}"/>
    <hyperlink ref="Y14" r:id="rId11" display="https://dhsprogram.com/pubs/pdf/SPA24/SPA24.pdf" xr:uid="{00000000-0004-0000-0100-00000A000000}"/>
    <hyperlink ref="Y15" r:id="rId12" display="https://www.swecare.se/Portals/swecare/Documents/Report-on-the-Health-Care-Sector-and-Business-Opportunities-in-Zambia.pdf" xr:uid="{00000000-0004-0000-0100-00000B000000}"/>
    <hyperlink ref="Y16" r:id="rId13" display="https://www.globalfinancingfacility.org/sites/gff_new/files/Uganda-Private-Sector-Assessment-health.pdf" xr:uid="{00000000-0004-0000-0100-00000C000000}"/>
  </hyperlinks>
  <pageMargins left="0.75" right="0.75" top="1" bottom="1" header="0.5" footer="0.5"/>
  <pageSetup paperSize="9" orientation="portrait" horizontalDpi="4294967292" verticalDpi="4294967292"/>
  <ignoredErrors>
    <ignoredError sqref="G23 G26" formulaRange="1"/>
  </ignoredErrors>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932EAD547D39A448F70DFD1A9451210" ma:contentTypeVersion="" ma:contentTypeDescription="Create a new document." ma:contentTypeScope="" ma:versionID="5a673454ec172ecce642261c96f4a850">
  <xsd:schema xmlns:xsd="http://www.w3.org/2001/XMLSchema" xmlns:xs="http://www.w3.org/2001/XMLSchema" xmlns:p="http://schemas.microsoft.com/office/2006/metadata/properties" xmlns:ns2="fb74af13-32b2-4119-8e02-20c54814feab" xmlns:ns3="21478273-4f81-4aa2-a466-7405cc301cec" targetNamespace="http://schemas.microsoft.com/office/2006/metadata/properties" ma:root="true" ma:fieldsID="a78a582856e6b3ef4a3733230c93741b" ns2:_="" ns3:_="">
    <xsd:import namespace="fb74af13-32b2-4119-8e02-20c54814feab"/>
    <xsd:import namespace="21478273-4f81-4aa2-a466-7405cc301ce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3:SharedWithUsers" minOccurs="0"/>
                <xsd:element ref="ns3:SharedWithDetails" minOccurs="0"/>
                <xsd:element ref="ns2:MediaServiceLocation"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b74af13-32b2-4119-8e02-20c54814fea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1478273-4f81-4aa2-a466-7405cc301cec"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F12B2F2-699B-4A1C-940C-9A0C3E51D63F}">
  <ds:schemaRefs>
    <ds:schemaRef ds:uri="http://schemas.microsoft.com/sharepoint/v3/contenttype/forms"/>
  </ds:schemaRefs>
</ds:datastoreItem>
</file>

<file path=customXml/itemProps2.xml><?xml version="1.0" encoding="utf-8"?>
<ds:datastoreItem xmlns:ds="http://schemas.openxmlformats.org/officeDocument/2006/customXml" ds:itemID="{5493FB2B-1C48-4E44-8815-4A233CF4007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b74af13-32b2-4119-8e02-20c54814feab"/>
    <ds:schemaRef ds:uri="21478273-4f81-4aa2-a466-7405cc301ce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74EDC03-4F36-47BC-8EDC-5690EA386596}">
  <ds:schemaRefs>
    <ds:schemaRef ds:uri="http://schemas.microsoft.com/office/infopath/2007/PartnerControls"/>
    <ds:schemaRef ds:uri="http://purl.org/dc/elements/1.1/"/>
    <ds:schemaRef ds:uri="http://schemas.microsoft.com/office/2006/metadata/properties"/>
    <ds:schemaRef ds:uri="fb74af13-32b2-4119-8e02-20c54814feab"/>
    <ds:schemaRef ds:uri="http://www.w3.org/XML/1998/namespace"/>
    <ds:schemaRef ds:uri="http://schemas.microsoft.com/office/2006/documentManagement/types"/>
    <ds:schemaRef ds:uri="http://purl.org/dc/terms/"/>
    <ds:schemaRef ds:uri="http://purl.org/dc/dcmitype/"/>
    <ds:schemaRef ds:uri="http://schemas.openxmlformats.org/package/2006/metadata/core-properties"/>
    <ds:schemaRef ds:uri="21478273-4f81-4aa2-a466-7405cc301ce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Assumptions</vt:lpstr>
      <vt:lpstr>Market info</vt:lpstr>
    </vt:vector>
  </TitlesOfParts>
  <Manager/>
  <Company>Access to Medicine Foundation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Alice Helbing</dc:creator>
  <cp:keywords/>
  <dc:description/>
  <cp:lastModifiedBy>Emily Clayton</cp:lastModifiedBy>
  <cp:revision/>
  <dcterms:created xsi:type="dcterms:W3CDTF">2019-09-27T08:38:54Z</dcterms:created>
  <dcterms:modified xsi:type="dcterms:W3CDTF">2019-12-02T18:22:55Z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0x010100D932EAD547D39A448F70DFD1A9451210</vt:lpwstr>
  </property>
</Properties>
</file>