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clayton\Resonance\Commercial - OpenLMIS\3 - Deliverables\2019.11.22 - Final Deliverables\Business Model Development\"/>
    </mc:Choice>
  </mc:AlternateContent>
  <xr:revisionPtr revIDLastSave="5" documentId="13_ncr:1_{CEC17233-CB32-BA43-8E49-8A5136823F03}" xr6:coauthVersionLast="45" xr6:coauthVersionMax="45" xr10:uidLastSave="{159C4308-0EEA-433D-B953-7E0F89F23A35}"/>
  <bookViews>
    <workbookView xWindow="-120" yWindow="-120" windowWidth="29040" windowHeight="15840" xr2:uid="{B2197B6F-A627-4A42-834E-46E9FD94BDB2}"/>
  </bookViews>
  <sheets>
    <sheet name="Read Me" sheetId="8" r:id="rId1"/>
    <sheet name="Total Costs" sheetId="2" r:id="rId2"/>
    <sheet name="Returns" sheetId="1" r:id="rId3"/>
    <sheet name="Public Health Pricing" sheetId="3" r:id="rId4"/>
    <sheet name="Private Health Pricing" sheetId="6" r:id="rId5"/>
    <sheet name="Customers" sheetId="4" r:id="rId6"/>
    <sheet name="Revenue Streams" sheetId="5" r:id="rId7"/>
    <sheet name="Channel Partners" sheetId="7" r:id="rId8"/>
    <sheet name="Misc" sheetId="9" r:id="rId9"/>
  </sheets>
  <externalReferences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4" i="7" l="1"/>
  <c r="E24" i="7"/>
  <c r="E20" i="7"/>
  <c r="D20" i="7"/>
  <c r="D4" i="1"/>
  <c r="E4" i="1"/>
  <c r="D150" i="6"/>
  <c r="C150" i="6"/>
  <c r="I112" i="6"/>
  <c r="I72" i="6"/>
  <c r="D6" i="1"/>
  <c r="E6" i="1"/>
  <c r="C15" i="4"/>
  <c r="D15" i="4"/>
  <c r="D22" i="4" s="1"/>
  <c r="G54" i="6"/>
  <c r="H54" i="6"/>
  <c r="G64" i="6"/>
  <c r="H64" i="6"/>
  <c r="E22" i="4"/>
  <c r="F22" i="4"/>
  <c r="G22" i="4"/>
  <c r="H22" i="4"/>
  <c r="I22" i="4"/>
  <c r="J22" i="4"/>
  <c r="K22" i="4"/>
  <c r="L22" i="4"/>
  <c r="M22" i="4"/>
  <c r="N22" i="4"/>
  <c r="C22" i="4"/>
  <c r="F15" i="4"/>
  <c r="G15" i="4"/>
  <c r="H15" i="4"/>
  <c r="I15" i="4"/>
  <c r="J15" i="4"/>
  <c r="K15" i="4"/>
  <c r="L15" i="4"/>
  <c r="M15" i="4"/>
  <c r="N15" i="4"/>
  <c r="F16" i="4"/>
  <c r="G16" i="4"/>
  <c r="H16" i="4"/>
  <c r="I16" i="4"/>
  <c r="J16" i="4"/>
  <c r="K16" i="4"/>
  <c r="L16" i="4"/>
  <c r="M16" i="4"/>
  <c r="N16" i="4"/>
  <c r="F17" i="4"/>
  <c r="G17" i="4"/>
  <c r="H17" i="4"/>
  <c r="I17" i="4"/>
  <c r="J17" i="4"/>
  <c r="K17" i="4"/>
  <c r="L17" i="4"/>
  <c r="M17" i="4"/>
  <c r="N17" i="4"/>
  <c r="F18" i="4"/>
  <c r="G18" i="4"/>
  <c r="H18" i="4"/>
  <c r="I18" i="4"/>
  <c r="J18" i="4"/>
  <c r="K18" i="4"/>
  <c r="L18" i="4"/>
  <c r="M18" i="4"/>
  <c r="N18" i="4"/>
  <c r="F19" i="4"/>
  <c r="G19" i="4"/>
  <c r="H19" i="4"/>
  <c r="I19" i="4"/>
  <c r="J19" i="4"/>
  <c r="K19" i="4"/>
  <c r="L19" i="4"/>
  <c r="M19" i="4"/>
  <c r="N19" i="4"/>
  <c r="F20" i="4"/>
  <c r="G20" i="4"/>
  <c r="H20" i="4"/>
  <c r="I20" i="4"/>
  <c r="J20" i="4"/>
  <c r="K20" i="4"/>
  <c r="L20" i="4"/>
  <c r="M20" i="4"/>
  <c r="N20" i="4"/>
  <c r="E16" i="4"/>
  <c r="E17" i="4"/>
  <c r="E18" i="4"/>
  <c r="E19" i="4"/>
  <c r="E20" i="4"/>
  <c r="E15" i="4"/>
  <c r="D55" i="4"/>
  <c r="E55" i="4" s="1"/>
  <c r="F55" i="4" s="1"/>
  <c r="G55" i="4" s="1"/>
  <c r="H55" i="4" s="1"/>
  <c r="I55" i="4" s="1"/>
  <c r="J55" i="4" s="1"/>
  <c r="K55" i="4" s="1"/>
  <c r="L55" i="4" s="1"/>
  <c r="M55" i="4" s="1"/>
  <c r="N55" i="4" s="1"/>
  <c r="D48" i="4"/>
  <c r="E48" i="4" s="1"/>
  <c r="F48" i="4" s="1"/>
  <c r="G48" i="4" s="1"/>
  <c r="H48" i="4" s="1"/>
  <c r="I48" i="4" s="1"/>
  <c r="J48" i="4" s="1"/>
  <c r="K48" i="4" s="1"/>
  <c r="L48" i="4" s="1"/>
  <c r="M48" i="4" s="1"/>
  <c r="N48" i="4" s="1"/>
  <c r="F6" i="4"/>
  <c r="G6" i="4"/>
  <c r="H6" i="4"/>
  <c r="I6" i="4"/>
  <c r="J6" i="4"/>
  <c r="K6" i="4"/>
  <c r="L6" i="4"/>
  <c r="M6" i="4"/>
  <c r="N6" i="4"/>
  <c r="F7" i="4"/>
  <c r="G7" i="4"/>
  <c r="H7" i="4"/>
  <c r="I7" i="4"/>
  <c r="J7" i="4"/>
  <c r="K7" i="4"/>
  <c r="L7" i="4"/>
  <c r="M7" i="4"/>
  <c r="N7" i="4"/>
  <c r="F8" i="4"/>
  <c r="G8" i="4"/>
  <c r="H8" i="4"/>
  <c r="I8" i="4"/>
  <c r="J8" i="4"/>
  <c r="K8" i="4"/>
  <c r="L8" i="4"/>
  <c r="M8" i="4"/>
  <c r="N8" i="4"/>
  <c r="F9" i="4"/>
  <c r="G9" i="4"/>
  <c r="H9" i="4"/>
  <c r="I9" i="4"/>
  <c r="J9" i="4"/>
  <c r="K9" i="4"/>
  <c r="L9" i="4"/>
  <c r="M9" i="4"/>
  <c r="N9" i="4"/>
  <c r="F10" i="4"/>
  <c r="G10" i="4"/>
  <c r="H10" i="4"/>
  <c r="I10" i="4"/>
  <c r="J10" i="4"/>
  <c r="K10" i="4"/>
  <c r="L10" i="4"/>
  <c r="M10" i="4"/>
  <c r="N10" i="4"/>
  <c r="F11" i="4"/>
  <c r="G11" i="4"/>
  <c r="H11" i="4"/>
  <c r="I11" i="4"/>
  <c r="J11" i="4"/>
  <c r="K11" i="4"/>
  <c r="L11" i="4"/>
  <c r="M11" i="4"/>
  <c r="N11" i="4"/>
  <c r="E7" i="4"/>
  <c r="E8" i="4"/>
  <c r="E9" i="4"/>
  <c r="E10" i="4"/>
  <c r="E11" i="4"/>
  <c r="E6" i="4"/>
  <c r="D14" i="4"/>
  <c r="E14" i="4" s="1"/>
  <c r="F14" i="4" s="1"/>
  <c r="G14" i="4" s="1"/>
  <c r="H14" i="4" s="1"/>
  <c r="I14" i="4" s="1"/>
  <c r="J14" i="4" s="1"/>
  <c r="K14" i="4" s="1"/>
  <c r="L14" i="4" s="1"/>
  <c r="M14" i="4" s="1"/>
  <c r="N14" i="4" s="1"/>
  <c r="D5" i="4"/>
  <c r="E5" i="4" s="1"/>
  <c r="F5" i="4" s="1"/>
  <c r="G5" i="4" s="1"/>
  <c r="H5" i="4" s="1"/>
  <c r="I5" i="4" s="1"/>
  <c r="J5" i="4" s="1"/>
  <c r="K5" i="4" s="1"/>
  <c r="L5" i="4" s="1"/>
  <c r="M5" i="4" s="1"/>
  <c r="N5" i="4" s="1"/>
  <c r="F10" i="2"/>
  <c r="E34" i="2"/>
  <c r="G34" i="2"/>
  <c r="H34" i="2"/>
  <c r="I34" i="2"/>
  <c r="J34" i="2"/>
  <c r="K34" i="2"/>
  <c r="L34" i="2"/>
  <c r="M34" i="2"/>
  <c r="N34" i="2"/>
  <c r="O34" i="2"/>
  <c r="D34" i="2"/>
  <c r="E33" i="2"/>
  <c r="G33" i="2"/>
  <c r="H33" i="2"/>
  <c r="I33" i="2"/>
  <c r="J33" i="2"/>
  <c r="K33" i="2"/>
  <c r="L33" i="2"/>
  <c r="M33" i="2"/>
  <c r="N33" i="2"/>
  <c r="O33" i="2"/>
  <c r="D33" i="2"/>
  <c r="E32" i="2"/>
  <c r="G32" i="2"/>
  <c r="H32" i="2"/>
  <c r="I32" i="2"/>
  <c r="J32" i="2"/>
  <c r="K32" i="2"/>
  <c r="L32" i="2"/>
  <c r="M32" i="2"/>
  <c r="N32" i="2"/>
  <c r="O32" i="2"/>
  <c r="D32" i="2"/>
  <c r="E39" i="6"/>
  <c r="C6" i="6"/>
  <c r="D6" i="6"/>
  <c r="E6" i="6"/>
  <c r="F8" i="2"/>
  <c r="F5" i="2"/>
  <c r="G5" i="2"/>
  <c r="H5" i="2"/>
  <c r="I5" i="2"/>
  <c r="J5" i="2"/>
  <c r="K5" i="2"/>
  <c r="L5" i="2"/>
  <c r="M5" i="2"/>
  <c r="N5" i="2"/>
  <c r="O5" i="2"/>
  <c r="F6" i="2"/>
  <c r="G6" i="2"/>
  <c r="H6" i="2"/>
  <c r="I6" i="2"/>
  <c r="J6" i="2"/>
  <c r="K6" i="2"/>
  <c r="L6" i="2"/>
  <c r="M6" i="2"/>
  <c r="N6" i="2"/>
  <c r="O6" i="2"/>
  <c r="F7" i="2"/>
  <c r="G7" i="2"/>
  <c r="H7" i="2"/>
  <c r="I7" i="2"/>
  <c r="J7" i="2"/>
  <c r="K7" i="2"/>
  <c r="L7" i="2"/>
  <c r="M7" i="2"/>
  <c r="N7" i="2"/>
  <c r="O7" i="2"/>
  <c r="F9" i="2"/>
  <c r="G9" i="2"/>
  <c r="H9" i="2"/>
  <c r="I9" i="2"/>
  <c r="J9" i="2"/>
  <c r="K9" i="2"/>
  <c r="L9" i="2"/>
  <c r="M9" i="2"/>
  <c r="N9" i="2"/>
  <c r="O9" i="2"/>
  <c r="O4" i="2"/>
  <c r="G4" i="2"/>
  <c r="H4" i="2"/>
  <c r="I4" i="2"/>
  <c r="J4" i="2"/>
  <c r="K4" i="2"/>
  <c r="L4" i="2"/>
  <c r="M4" i="2"/>
  <c r="N4" i="2"/>
  <c r="F4" i="2"/>
  <c r="G18" i="2"/>
  <c r="H18" i="2" s="1"/>
  <c r="H17" i="2"/>
  <c r="I17" i="2"/>
  <c r="J17" i="2"/>
  <c r="K17" i="2"/>
  <c r="L17" i="2" s="1"/>
  <c r="M17" i="2" s="1"/>
  <c r="N17" i="2" s="1"/>
  <c r="O17" i="2" s="1"/>
  <c r="G17" i="2"/>
  <c r="L14" i="2"/>
  <c r="M14" i="2"/>
  <c r="N14" i="2"/>
  <c r="O14" i="2"/>
  <c r="K14" i="2"/>
  <c r="E22" i="2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E13" i="2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G20" i="7"/>
  <c r="H20" i="7"/>
  <c r="I20" i="7"/>
  <c r="J20" i="7"/>
  <c r="K20" i="7"/>
  <c r="L20" i="7"/>
  <c r="M20" i="7"/>
  <c r="N20" i="7"/>
  <c r="O20" i="7"/>
  <c r="F20" i="7"/>
  <c r="G19" i="7"/>
  <c r="H19" i="7" s="1"/>
  <c r="I19" i="7" s="1"/>
  <c r="J19" i="7" s="1"/>
  <c r="K19" i="7" s="1"/>
  <c r="L19" i="7" s="1"/>
  <c r="M19" i="7" s="1"/>
  <c r="N19" i="7" s="1"/>
  <c r="O19" i="7" s="1"/>
  <c r="G8" i="2" l="1"/>
  <c r="I18" i="2"/>
  <c r="H8" i="2"/>
  <c r="J18" i="2" l="1"/>
  <c r="I8" i="2"/>
  <c r="K18" i="2" l="1"/>
  <c r="J8" i="2"/>
  <c r="L18" i="2" l="1"/>
  <c r="K8" i="2"/>
  <c r="M18" i="2" l="1"/>
  <c r="L8" i="2"/>
  <c r="N18" i="2" l="1"/>
  <c r="M8" i="2"/>
  <c r="O18" i="2" l="1"/>
  <c r="O8" i="2" s="1"/>
  <c r="N8" i="2"/>
  <c r="E23" i="7" l="1"/>
  <c r="F23" i="7" s="1"/>
  <c r="G23" i="7" s="1"/>
  <c r="H23" i="7" s="1"/>
  <c r="I23" i="7" s="1"/>
  <c r="J23" i="7" s="1"/>
  <c r="K23" i="7" s="1"/>
  <c r="L23" i="7" s="1"/>
  <c r="M23" i="7" s="1"/>
  <c r="N23" i="7" s="1"/>
  <c r="O23" i="7" s="1"/>
  <c r="E8" i="7"/>
  <c r="D8" i="7"/>
  <c r="F8" i="7"/>
  <c r="E15" i="7"/>
  <c r="D15" i="7"/>
  <c r="E14" i="7"/>
  <c r="D14" i="7"/>
  <c r="E13" i="7"/>
  <c r="D13" i="7"/>
  <c r="E12" i="7"/>
  <c r="D12" i="7"/>
  <c r="E18" i="7"/>
  <c r="F18" i="7" s="1"/>
  <c r="G18" i="7" s="1"/>
  <c r="H18" i="7" s="1"/>
  <c r="I18" i="7" s="1"/>
  <c r="J18" i="7" s="1"/>
  <c r="K18" i="7" s="1"/>
  <c r="L18" i="7" s="1"/>
  <c r="M18" i="7" s="1"/>
  <c r="N18" i="7" s="1"/>
  <c r="O18" i="7" s="1"/>
  <c r="F11" i="7"/>
  <c r="G11" i="7" s="1"/>
  <c r="H11" i="7" s="1"/>
  <c r="I11" i="7" s="1"/>
  <c r="J11" i="7" s="1"/>
  <c r="K11" i="7" s="1"/>
  <c r="L11" i="7" s="1"/>
  <c r="M11" i="7" s="1"/>
  <c r="N11" i="7" s="1"/>
  <c r="O11" i="7" s="1"/>
  <c r="E11" i="7"/>
  <c r="E3" i="7"/>
  <c r="F3" i="7" s="1"/>
  <c r="G3" i="7" s="1"/>
  <c r="H3" i="7" s="1"/>
  <c r="I3" i="7" s="1"/>
  <c r="J3" i="7" s="1"/>
  <c r="K3" i="7" s="1"/>
  <c r="L3" i="7" s="1"/>
  <c r="M3" i="7" s="1"/>
  <c r="N3" i="7" s="1"/>
  <c r="O3" i="7" s="1"/>
  <c r="D35" i="6"/>
  <c r="E35" i="6" s="1"/>
  <c r="F35" i="6" s="1"/>
  <c r="G35" i="6" s="1"/>
  <c r="H35" i="6" s="1"/>
  <c r="I35" i="6" s="1"/>
  <c r="J35" i="6" s="1"/>
  <c r="K35" i="6" s="1"/>
  <c r="L35" i="6" s="1"/>
  <c r="M35" i="6" s="1"/>
  <c r="N35" i="6" s="1"/>
  <c r="F143" i="6"/>
  <c r="F142" i="6"/>
  <c r="F137" i="6"/>
  <c r="F136" i="6"/>
  <c r="F131" i="6"/>
  <c r="F130" i="6"/>
  <c r="F125" i="6"/>
  <c r="F124" i="6"/>
  <c r="F119" i="6"/>
  <c r="F118" i="6"/>
  <c r="F113" i="6"/>
  <c r="F112" i="6"/>
  <c r="F103" i="6"/>
  <c r="F102" i="6"/>
  <c r="F97" i="6"/>
  <c r="F96" i="6"/>
  <c r="F91" i="6"/>
  <c r="F90" i="6"/>
  <c r="F85" i="6"/>
  <c r="F84" i="6"/>
  <c r="F79" i="6"/>
  <c r="F78" i="6"/>
  <c r="F73" i="6"/>
  <c r="F72" i="6"/>
  <c r="D149" i="6"/>
  <c r="D151" i="6" s="1"/>
  <c r="C149" i="6"/>
  <c r="D148" i="6"/>
  <c r="E148" i="6" s="1"/>
  <c r="F148" i="6" s="1"/>
  <c r="G148" i="6" s="1"/>
  <c r="H148" i="6" s="1"/>
  <c r="I148" i="6" s="1"/>
  <c r="J148" i="6" s="1"/>
  <c r="K148" i="6" s="1"/>
  <c r="L148" i="6" s="1"/>
  <c r="M148" i="6" s="1"/>
  <c r="N148" i="6" s="1"/>
  <c r="C151" i="6" l="1"/>
  <c r="E58" i="1" l="1"/>
  <c r="F58" i="1" s="1"/>
  <c r="G58" i="1" s="1"/>
  <c r="H58" i="1" s="1"/>
  <c r="I58" i="1" s="1"/>
  <c r="J58" i="1" s="1"/>
  <c r="K58" i="1" s="1"/>
  <c r="L58" i="1" s="1"/>
  <c r="M58" i="1" s="1"/>
  <c r="N58" i="1" s="1"/>
  <c r="O58" i="1" s="1"/>
  <c r="H108" i="6" l="1"/>
  <c r="I108" i="6" s="1"/>
  <c r="J108" i="6" s="1"/>
  <c r="K108" i="6" s="1"/>
  <c r="L108" i="6" s="1"/>
  <c r="M108" i="6" s="1"/>
  <c r="N108" i="6" s="1"/>
  <c r="O108" i="6" s="1"/>
  <c r="P108" i="6" s="1"/>
  <c r="Q108" i="6" s="1"/>
  <c r="R108" i="6" s="1"/>
  <c r="H68" i="6"/>
  <c r="I68" i="6" s="1"/>
  <c r="J68" i="6" s="1"/>
  <c r="K68" i="6" s="1"/>
  <c r="L68" i="6" s="1"/>
  <c r="M68" i="6" s="1"/>
  <c r="N68" i="6" s="1"/>
  <c r="O68" i="6" s="1"/>
  <c r="P68" i="6" s="1"/>
  <c r="Q68" i="6" s="1"/>
  <c r="R68" i="6" s="1"/>
  <c r="H47" i="6"/>
  <c r="I47" i="6" s="1"/>
  <c r="J47" i="6" s="1"/>
  <c r="K47" i="6" s="1"/>
  <c r="L47" i="6" s="1"/>
  <c r="M47" i="6" s="1"/>
  <c r="N47" i="6" s="1"/>
  <c r="O47" i="6" s="1"/>
  <c r="P47" i="6" s="1"/>
  <c r="Q47" i="6" s="1"/>
  <c r="R47" i="6" s="1"/>
  <c r="H57" i="6"/>
  <c r="I57" i="6" s="1"/>
  <c r="J57" i="6" s="1"/>
  <c r="K57" i="6" s="1"/>
  <c r="L57" i="6" s="1"/>
  <c r="M57" i="6" s="1"/>
  <c r="N57" i="6" s="1"/>
  <c r="O57" i="6" s="1"/>
  <c r="P57" i="6" s="1"/>
  <c r="Q57" i="6" s="1"/>
  <c r="R57" i="6" s="1"/>
  <c r="F29" i="1"/>
  <c r="G29" i="1"/>
  <c r="H29" i="1"/>
  <c r="K29" i="1"/>
  <c r="L29" i="1"/>
  <c r="O29" i="1"/>
  <c r="F30" i="1"/>
  <c r="F31" i="1"/>
  <c r="F32" i="1"/>
  <c r="O32" i="1"/>
  <c r="E3" i="2"/>
  <c r="F3" i="2" s="1"/>
  <c r="G3" i="2" s="1"/>
  <c r="H3" i="2" s="1"/>
  <c r="I3" i="2" s="1"/>
  <c r="J3" i="2" s="1"/>
  <c r="K3" i="2" s="1"/>
  <c r="L3" i="2" s="1"/>
  <c r="M3" i="2" s="1"/>
  <c r="N3" i="2" s="1"/>
  <c r="O3" i="2" s="1"/>
  <c r="E55" i="5"/>
  <c r="F55" i="5" s="1"/>
  <c r="G55" i="5" s="1"/>
  <c r="H55" i="5" s="1"/>
  <c r="I55" i="5" s="1"/>
  <c r="J55" i="5" s="1"/>
  <c r="K55" i="5" s="1"/>
  <c r="L55" i="5" s="1"/>
  <c r="M55" i="5" s="1"/>
  <c r="N55" i="5" s="1"/>
  <c r="O55" i="5" s="1"/>
  <c r="E43" i="5"/>
  <c r="F43" i="5" s="1"/>
  <c r="G43" i="5" s="1"/>
  <c r="H43" i="5" s="1"/>
  <c r="I43" i="5" s="1"/>
  <c r="J43" i="5" s="1"/>
  <c r="K43" i="5" s="1"/>
  <c r="L43" i="5" s="1"/>
  <c r="M43" i="5" s="1"/>
  <c r="N43" i="5" s="1"/>
  <c r="O43" i="5" s="1"/>
  <c r="E32" i="5"/>
  <c r="F32" i="5" s="1"/>
  <c r="G32" i="5" s="1"/>
  <c r="H32" i="5" s="1"/>
  <c r="I32" i="5" s="1"/>
  <c r="J32" i="5" s="1"/>
  <c r="K32" i="5" s="1"/>
  <c r="L32" i="5" s="1"/>
  <c r="M32" i="5" s="1"/>
  <c r="N32" i="5" s="1"/>
  <c r="O32" i="5" s="1"/>
  <c r="E8" i="5"/>
  <c r="F8" i="5" s="1"/>
  <c r="G8" i="5" s="1"/>
  <c r="H8" i="5" s="1"/>
  <c r="I8" i="5" s="1"/>
  <c r="J8" i="5" s="1"/>
  <c r="K8" i="5" s="1"/>
  <c r="L8" i="5" s="1"/>
  <c r="M8" i="5" s="1"/>
  <c r="N8" i="5" s="1"/>
  <c r="O8" i="5" s="1"/>
  <c r="G3" i="5"/>
  <c r="H3" i="5" s="1"/>
  <c r="I3" i="5" s="1"/>
  <c r="J3" i="5" s="1"/>
  <c r="K3" i="5" s="1"/>
  <c r="L3" i="5" s="1"/>
  <c r="M3" i="5" s="1"/>
  <c r="N3" i="5" s="1"/>
  <c r="O3" i="5" s="1"/>
  <c r="F3" i="5"/>
  <c r="E3" i="5"/>
  <c r="E46" i="1"/>
  <c r="F46" i="1" s="1"/>
  <c r="G46" i="1" s="1"/>
  <c r="H46" i="1" s="1"/>
  <c r="I46" i="1" s="1"/>
  <c r="J46" i="1" s="1"/>
  <c r="K46" i="1" s="1"/>
  <c r="L46" i="1" s="1"/>
  <c r="M46" i="1" s="1"/>
  <c r="N46" i="1" s="1"/>
  <c r="O46" i="1" s="1"/>
  <c r="E26" i="1"/>
  <c r="F26" i="1" s="1"/>
  <c r="G26" i="1" s="1"/>
  <c r="H26" i="1" s="1"/>
  <c r="I26" i="1" s="1"/>
  <c r="J26" i="1" s="1"/>
  <c r="K26" i="1" s="1"/>
  <c r="L26" i="1" s="1"/>
  <c r="M26" i="1" s="1"/>
  <c r="N26" i="1" s="1"/>
  <c r="O26" i="1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E54" i="3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B101" i="9"/>
  <c r="O15" i="7"/>
  <c r="N15" i="7"/>
  <c r="M15" i="7"/>
  <c r="L15" i="7"/>
  <c r="K15" i="7"/>
  <c r="J15" i="7"/>
  <c r="I15" i="7"/>
  <c r="H15" i="7"/>
  <c r="G15" i="7"/>
  <c r="F15" i="7"/>
  <c r="O14" i="7"/>
  <c r="N14" i="7"/>
  <c r="M14" i="7"/>
  <c r="L14" i="7"/>
  <c r="K14" i="7"/>
  <c r="J14" i="7"/>
  <c r="I14" i="7"/>
  <c r="H14" i="7"/>
  <c r="G14" i="7"/>
  <c r="F14" i="7"/>
  <c r="O13" i="7"/>
  <c r="N13" i="7"/>
  <c r="M13" i="7"/>
  <c r="L13" i="7"/>
  <c r="K13" i="7"/>
  <c r="J13" i="7"/>
  <c r="I13" i="7"/>
  <c r="H13" i="7"/>
  <c r="G13" i="7"/>
  <c r="F13" i="7"/>
  <c r="O12" i="7"/>
  <c r="N12" i="7"/>
  <c r="M12" i="7"/>
  <c r="L12" i="7"/>
  <c r="K12" i="7"/>
  <c r="J12" i="7"/>
  <c r="I12" i="7"/>
  <c r="H12" i="7"/>
  <c r="G12" i="7"/>
  <c r="F12" i="7"/>
  <c r="G7" i="7"/>
  <c r="H7" i="7" s="1"/>
  <c r="I7" i="7" s="1"/>
  <c r="J7" i="7" s="1"/>
  <c r="K7" i="7" s="1"/>
  <c r="L7" i="7" s="1"/>
  <c r="M7" i="7" s="1"/>
  <c r="N7" i="7" s="1"/>
  <c r="O7" i="7" s="1"/>
  <c r="G6" i="7"/>
  <c r="H6" i="7" s="1"/>
  <c r="I6" i="7" s="1"/>
  <c r="J6" i="7" s="1"/>
  <c r="K6" i="7" s="1"/>
  <c r="L6" i="7" s="1"/>
  <c r="M6" i="7" s="1"/>
  <c r="N6" i="7" s="1"/>
  <c r="O6" i="7" s="1"/>
  <c r="G5" i="7"/>
  <c r="H5" i="7" s="1"/>
  <c r="I5" i="7" s="1"/>
  <c r="J5" i="7" s="1"/>
  <c r="K5" i="7" s="1"/>
  <c r="L5" i="7" s="1"/>
  <c r="M5" i="7" s="1"/>
  <c r="N5" i="7" s="1"/>
  <c r="O5" i="7" s="1"/>
  <c r="G4" i="7"/>
  <c r="G8" i="7" s="1"/>
  <c r="F12" i="5"/>
  <c r="D30" i="6"/>
  <c r="F30" i="6" s="1"/>
  <c r="D29" i="6"/>
  <c r="F29" i="6" s="1"/>
  <c r="D28" i="6"/>
  <c r="F28" i="6" s="1"/>
  <c r="D24" i="6"/>
  <c r="F24" i="6" s="1"/>
  <c r="D23" i="6"/>
  <c r="F23" i="6" s="1"/>
  <c r="D22" i="6"/>
  <c r="F22" i="6" s="1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4" i="6"/>
  <c r="E54" i="6"/>
  <c r="C41" i="6"/>
  <c r="E40" i="6"/>
  <c r="I62" i="6" s="1"/>
  <c r="I52" i="6"/>
  <c r="N38" i="6"/>
  <c r="M38" i="6"/>
  <c r="L38" i="6"/>
  <c r="K38" i="6"/>
  <c r="J38" i="6"/>
  <c r="I38" i="6"/>
  <c r="H38" i="6"/>
  <c r="G38" i="6"/>
  <c r="F38" i="6"/>
  <c r="E38" i="6"/>
  <c r="L32" i="1" l="1"/>
  <c r="K32" i="1"/>
  <c r="N32" i="1"/>
  <c r="J32" i="1"/>
  <c r="N29" i="1"/>
  <c r="J29" i="1"/>
  <c r="H32" i="1"/>
  <c r="G32" i="1"/>
  <c r="M32" i="1"/>
  <c r="I32" i="1"/>
  <c r="M29" i="1"/>
  <c r="I29" i="1"/>
  <c r="F81" i="6"/>
  <c r="F139" i="6"/>
  <c r="F127" i="6"/>
  <c r="F115" i="6"/>
  <c r="F99" i="6"/>
  <c r="F87" i="6"/>
  <c r="F75" i="6"/>
  <c r="F133" i="6"/>
  <c r="I133" i="6" s="1"/>
  <c r="F121" i="6"/>
  <c r="F93" i="6"/>
  <c r="I93" i="6" s="1"/>
  <c r="F69" i="6"/>
  <c r="F109" i="6"/>
  <c r="G30" i="1"/>
  <c r="G31" i="1"/>
  <c r="F27" i="1"/>
  <c r="F11" i="2"/>
  <c r="G28" i="1"/>
  <c r="F28" i="1"/>
  <c r="J28" i="1"/>
  <c r="I28" i="1"/>
  <c r="H28" i="1"/>
  <c r="G27" i="1"/>
  <c r="H4" i="7"/>
  <c r="H8" i="7" s="1"/>
  <c r="I58" i="6"/>
  <c r="I59" i="6"/>
  <c r="F40" i="6"/>
  <c r="J58" i="6" s="1"/>
  <c r="I61" i="6"/>
  <c r="I131" i="6" s="1"/>
  <c r="I48" i="6"/>
  <c r="I73" i="6" s="1"/>
  <c r="I63" i="6"/>
  <c r="I142" i="6" s="1"/>
  <c r="E41" i="6"/>
  <c r="F41" i="6" s="1"/>
  <c r="G41" i="6" s="1"/>
  <c r="H41" i="6" s="1"/>
  <c r="I41" i="6" s="1"/>
  <c r="J41" i="6" s="1"/>
  <c r="K41" i="6" s="1"/>
  <c r="L41" i="6" s="1"/>
  <c r="M41" i="6" s="1"/>
  <c r="N41" i="6" s="1"/>
  <c r="I96" i="6"/>
  <c r="I97" i="6"/>
  <c r="I137" i="6"/>
  <c r="I136" i="6"/>
  <c r="I113" i="6"/>
  <c r="I51" i="6"/>
  <c r="F39" i="6"/>
  <c r="I49" i="6"/>
  <c r="I78" i="6" s="1"/>
  <c r="I53" i="6"/>
  <c r="I50" i="6"/>
  <c r="I60" i="6"/>
  <c r="F33" i="1" l="1"/>
  <c r="I109" i="6"/>
  <c r="I91" i="6"/>
  <c r="J62" i="6"/>
  <c r="I85" i="6"/>
  <c r="I118" i="6"/>
  <c r="J112" i="6"/>
  <c r="H31" i="1"/>
  <c r="G33" i="1"/>
  <c r="H30" i="1"/>
  <c r="K28" i="1"/>
  <c r="F23" i="2"/>
  <c r="F32" i="2" s="1"/>
  <c r="F34" i="2" s="1"/>
  <c r="F25" i="2"/>
  <c r="F28" i="2"/>
  <c r="F26" i="2"/>
  <c r="F33" i="2" s="1"/>
  <c r="F24" i="2"/>
  <c r="F27" i="2"/>
  <c r="F29" i="2"/>
  <c r="G10" i="2"/>
  <c r="H27" i="1"/>
  <c r="J63" i="6"/>
  <c r="J142" i="6" s="1"/>
  <c r="J113" i="6"/>
  <c r="I81" i="6"/>
  <c r="G40" i="6"/>
  <c r="K61" i="6" s="1"/>
  <c r="J61" i="6"/>
  <c r="J131" i="6" s="1"/>
  <c r="I143" i="6"/>
  <c r="J109" i="6"/>
  <c r="J59" i="6"/>
  <c r="I139" i="6"/>
  <c r="I4" i="7"/>
  <c r="I8" i="7" s="1"/>
  <c r="I103" i="6"/>
  <c r="I69" i="6"/>
  <c r="I115" i="6"/>
  <c r="I119" i="6"/>
  <c r="I84" i="6"/>
  <c r="I54" i="6"/>
  <c r="I64" i="6"/>
  <c r="I130" i="6"/>
  <c r="I90" i="6"/>
  <c r="I87" i="6"/>
  <c r="I79" i="6"/>
  <c r="I127" i="6"/>
  <c r="J60" i="6"/>
  <c r="I75" i="6"/>
  <c r="I125" i="6"/>
  <c r="I124" i="6"/>
  <c r="I121" i="6"/>
  <c r="J143" i="6"/>
  <c r="G39" i="6"/>
  <c r="H39" i="6" s="1"/>
  <c r="L48" i="6" s="1"/>
  <c r="J48" i="6"/>
  <c r="J50" i="6"/>
  <c r="J53" i="6"/>
  <c r="J51" i="6"/>
  <c r="J49" i="6"/>
  <c r="J52" i="6"/>
  <c r="J136" i="6"/>
  <c r="I102" i="6"/>
  <c r="I99" i="6"/>
  <c r="K63" i="6" l="1"/>
  <c r="J118" i="6"/>
  <c r="J139" i="6"/>
  <c r="K62" i="6"/>
  <c r="K60" i="6"/>
  <c r="K124" i="6" s="1"/>
  <c r="H33" i="1"/>
  <c r="J133" i="6"/>
  <c r="J137" i="6"/>
  <c r="J130" i="6"/>
  <c r="J127" i="6"/>
  <c r="I30" i="1"/>
  <c r="I31" i="1"/>
  <c r="L28" i="1"/>
  <c r="G11" i="2"/>
  <c r="F30" i="2"/>
  <c r="I27" i="1"/>
  <c r="H10" i="2"/>
  <c r="J115" i="6"/>
  <c r="J119" i="6"/>
  <c r="H40" i="6"/>
  <c r="L60" i="6" s="1"/>
  <c r="K59" i="6"/>
  <c r="J64" i="6"/>
  <c r="K58" i="6"/>
  <c r="K109" i="6" s="1"/>
  <c r="J4" i="7"/>
  <c r="J8" i="7" s="1"/>
  <c r="J124" i="6"/>
  <c r="J121" i="6"/>
  <c r="J125" i="6"/>
  <c r="J75" i="6"/>
  <c r="J78" i="6"/>
  <c r="J79" i="6"/>
  <c r="J54" i="6"/>
  <c r="J73" i="6"/>
  <c r="J69" i="6"/>
  <c r="J72" i="6"/>
  <c r="L58" i="6"/>
  <c r="I40" i="6"/>
  <c r="L61" i="6"/>
  <c r="J90" i="6"/>
  <c r="J91" i="6"/>
  <c r="J87" i="6"/>
  <c r="K53" i="6"/>
  <c r="K51" i="6"/>
  <c r="K49" i="6"/>
  <c r="K52" i="6"/>
  <c r="K48" i="6"/>
  <c r="K50" i="6"/>
  <c r="K113" i="6"/>
  <c r="K112" i="6"/>
  <c r="K130" i="6"/>
  <c r="K127" i="6"/>
  <c r="K131" i="6"/>
  <c r="J99" i="6"/>
  <c r="J102" i="6"/>
  <c r="J103" i="6"/>
  <c r="K121" i="6"/>
  <c r="K142" i="6"/>
  <c r="K139" i="6"/>
  <c r="K143" i="6"/>
  <c r="J96" i="6"/>
  <c r="J93" i="6"/>
  <c r="J97" i="6"/>
  <c r="J81" i="6"/>
  <c r="J84" i="6"/>
  <c r="J85" i="6"/>
  <c r="K136" i="6"/>
  <c r="K133" i="6"/>
  <c r="K137" i="6"/>
  <c r="L59" i="6" l="1"/>
  <c r="L119" i="6" s="1"/>
  <c r="L62" i="6"/>
  <c r="L136" i="6" s="1"/>
  <c r="K125" i="6"/>
  <c r="K64" i="6"/>
  <c r="K119" i="6"/>
  <c r="L63" i="6"/>
  <c r="L142" i="6" s="1"/>
  <c r="K118" i="6"/>
  <c r="K115" i="6"/>
  <c r="J31" i="1"/>
  <c r="J30" i="1"/>
  <c r="I33" i="1"/>
  <c r="M28" i="1"/>
  <c r="G24" i="2"/>
  <c r="G28" i="2"/>
  <c r="G25" i="2"/>
  <c r="G27" i="2"/>
  <c r="G23" i="2"/>
  <c r="G26" i="2"/>
  <c r="H11" i="2"/>
  <c r="G29" i="2"/>
  <c r="I10" i="2"/>
  <c r="J27" i="1"/>
  <c r="K4" i="7"/>
  <c r="K8" i="7" s="1"/>
  <c r="K96" i="6"/>
  <c r="K93" i="6"/>
  <c r="K97" i="6"/>
  <c r="L115" i="6"/>
  <c r="L118" i="6"/>
  <c r="L137" i="6"/>
  <c r="K85" i="6"/>
  <c r="K84" i="6"/>
  <c r="K81" i="6"/>
  <c r="K79" i="6"/>
  <c r="K78" i="6"/>
  <c r="K75" i="6"/>
  <c r="L127" i="6"/>
  <c r="L131" i="6"/>
  <c r="L130" i="6"/>
  <c r="M62" i="6"/>
  <c r="M60" i="6"/>
  <c r="M61" i="6"/>
  <c r="M59" i="6"/>
  <c r="M63" i="6"/>
  <c r="J40" i="6"/>
  <c r="M58" i="6"/>
  <c r="K54" i="6"/>
  <c r="K73" i="6"/>
  <c r="K69" i="6"/>
  <c r="K72" i="6"/>
  <c r="K87" i="6"/>
  <c r="K91" i="6"/>
  <c r="K90" i="6"/>
  <c r="L109" i="6"/>
  <c r="L112" i="6"/>
  <c r="L113" i="6"/>
  <c r="I39" i="6"/>
  <c r="L52" i="6"/>
  <c r="L50" i="6"/>
  <c r="L49" i="6"/>
  <c r="L51" i="6"/>
  <c r="L53" i="6"/>
  <c r="K102" i="6"/>
  <c r="K103" i="6"/>
  <c r="K99" i="6"/>
  <c r="L124" i="6"/>
  <c r="L121" i="6"/>
  <c r="L125" i="6"/>
  <c r="L133" i="6" l="1"/>
  <c r="L143" i="6"/>
  <c r="L64" i="6"/>
  <c r="L139" i="6"/>
  <c r="K30" i="1"/>
  <c r="J33" i="1"/>
  <c r="K31" i="1"/>
  <c r="O28" i="1"/>
  <c r="N28" i="1"/>
  <c r="H25" i="2"/>
  <c r="H27" i="2"/>
  <c r="H26" i="2"/>
  <c r="H23" i="2"/>
  <c r="H24" i="2"/>
  <c r="H28" i="2"/>
  <c r="H29" i="2"/>
  <c r="I11" i="2"/>
  <c r="I29" i="2" s="1"/>
  <c r="G30" i="2"/>
  <c r="K27" i="1"/>
  <c r="J10" i="2"/>
  <c r="L4" i="7"/>
  <c r="L8" i="7" s="1"/>
  <c r="L78" i="6"/>
  <c r="L79" i="6"/>
  <c r="L75" i="6"/>
  <c r="L54" i="6"/>
  <c r="L73" i="6"/>
  <c r="L72" i="6"/>
  <c r="L69" i="6"/>
  <c r="M119" i="6"/>
  <c r="M115" i="6"/>
  <c r="M118" i="6"/>
  <c r="L81" i="6"/>
  <c r="L84" i="6"/>
  <c r="L85" i="6"/>
  <c r="M112" i="6"/>
  <c r="M113" i="6"/>
  <c r="M64" i="6"/>
  <c r="M109" i="6"/>
  <c r="M131" i="6"/>
  <c r="M127" i="6"/>
  <c r="M130" i="6"/>
  <c r="L99" i="6"/>
  <c r="L102" i="6"/>
  <c r="L103" i="6"/>
  <c r="N58" i="6"/>
  <c r="N63" i="6"/>
  <c r="N61" i="6"/>
  <c r="N59" i="6"/>
  <c r="K40" i="6"/>
  <c r="N62" i="6"/>
  <c r="N60" i="6"/>
  <c r="M124" i="6"/>
  <c r="M125" i="6"/>
  <c r="M121" i="6"/>
  <c r="L97" i="6"/>
  <c r="L96" i="6"/>
  <c r="L93" i="6"/>
  <c r="L91" i="6"/>
  <c r="L87" i="6"/>
  <c r="L90" i="6"/>
  <c r="M52" i="6"/>
  <c r="M50" i="6"/>
  <c r="M51" i="6"/>
  <c r="J39" i="6"/>
  <c r="M53" i="6"/>
  <c r="M49" i="6"/>
  <c r="M48" i="6"/>
  <c r="M143" i="6"/>
  <c r="M139" i="6"/>
  <c r="M142" i="6"/>
  <c r="M136" i="6"/>
  <c r="M137" i="6"/>
  <c r="M133" i="6"/>
  <c r="K33" i="1" l="1"/>
  <c r="L31" i="1"/>
  <c r="L30" i="1"/>
  <c r="J11" i="2"/>
  <c r="I26" i="2"/>
  <c r="I23" i="2"/>
  <c r="I27" i="2"/>
  <c r="I28" i="2"/>
  <c r="I24" i="2"/>
  <c r="I25" i="2"/>
  <c r="H30" i="2"/>
  <c r="K10" i="2"/>
  <c r="L27" i="1"/>
  <c r="M4" i="7"/>
  <c r="M8" i="7" s="1"/>
  <c r="M99" i="6"/>
  <c r="M102" i="6"/>
  <c r="M103" i="6"/>
  <c r="M96" i="6"/>
  <c r="M97" i="6"/>
  <c r="M93" i="6"/>
  <c r="N137" i="6"/>
  <c r="N136" i="6"/>
  <c r="N133" i="6"/>
  <c r="N143" i="6"/>
  <c r="N142" i="6"/>
  <c r="N139" i="6"/>
  <c r="K39" i="6"/>
  <c r="N53" i="6"/>
  <c r="N51" i="6"/>
  <c r="N49" i="6"/>
  <c r="N48" i="6"/>
  <c r="N50" i="6"/>
  <c r="N52" i="6"/>
  <c r="O63" i="6"/>
  <c r="O61" i="6"/>
  <c r="O59" i="6"/>
  <c r="O60" i="6"/>
  <c r="O58" i="6"/>
  <c r="L40" i="6"/>
  <c r="O62" i="6"/>
  <c r="N113" i="6"/>
  <c r="N112" i="6"/>
  <c r="N109" i="6"/>
  <c r="N64" i="6"/>
  <c r="M54" i="6"/>
  <c r="M69" i="6"/>
  <c r="M73" i="6"/>
  <c r="M72" i="6"/>
  <c r="N119" i="6"/>
  <c r="N118" i="6"/>
  <c r="N115" i="6"/>
  <c r="M90" i="6"/>
  <c r="M87" i="6"/>
  <c r="M91" i="6"/>
  <c r="M78" i="6"/>
  <c r="M79" i="6"/>
  <c r="M75" i="6"/>
  <c r="M81" i="6"/>
  <c r="M84" i="6"/>
  <c r="M85" i="6"/>
  <c r="N125" i="6"/>
  <c r="N124" i="6"/>
  <c r="N121" i="6"/>
  <c r="N131" i="6"/>
  <c r="N130" i="6"/>
  <c r="N127" i="6"/>
  <c r="L33" i="1" l="1"/>
  <c r="M30" i="1"/>
  <c r="M31" i="1"/>
  <c r="K11" i="2"/>
  <c r="I30" i="2"/>
  <c r="J23" i="2"/>
  <c r="J25" i="2"/>
  <c r="J26" i="2"/>
  <c r="J27" i="2"/>
  <c r="J28" i="2"/>
  <c r="J24" i="2"/>
  <c r="J29" i="2"/>
  <c r="M27" i="1"/>
  <c r="L10" i="2"/>
  <c r="N4" i="7"/>
  <c r="N8" i="7" s="1"/>
  <c r="O64" i="6"/>
  <c r="O109" i="6"/>
  <c r="O113" i="6"/>
  <c r="O112" i="6"/>
  <c r="O143" i="6"/>
  <c r="O142" i="6"/>
  <c r="O139" i="6"/>
  <c r="N75" i="6"/>
  <c r="N78" i="6"/>
  <c r="N79" i="6"/>
  <c r="O125" i="6"/>
  <c r="O124" i="6"/>
  <c r="O121" i="6"/>
  <c r="N96" i="6"/>
  <c r="N93" i="6"/>
  <c r="N97" i="6"/>
  <c r="N91" i="6"/>
  <c r="N87" i="6"/>
  <c r="N90" i="6"/>
  <c r="O136" i="6"/>
  <c r="O137" i="6"/>
  <c r="O133" i="6"/>
  <c r="O119" i="6"/>
  <c r="O118" i="6"/>
  <c r="O115" i="6"/>
  <c r="N81" i="6"/>
  <c r="N84" i="6"/>
  <c r="N85" i="6"/>
  <c r="N102" i="6"/>
  <c r="N99" i="6"/>
  <c r="N103" i="6"/>
  <c r="P58" i="6"/>
  <c r="M40" i="6"/>
  <c r="P62" i="6"/>
  <c r="P60" i="6"/>
  <c r="P63" i="6"/>
  <c r="P61" i="6"/>
  <c r="P59" i="6"/>
  <c r="O131" i="6"/>
  <c r="O130" i="6"/>
  <c r="O127" i="6"/>
  <c r="N54" i="6"/>
  <c r="N69" i="6"/>
  <c r="N73" i="6"/>
  <c r="N72" i="6"/>
  <c r="O53" i="6"/>
  <c r="O51" i="6"/>
  <c r="O49" i="6"/>
  <c r="O50" i="6"/>
  <c r="L39" i="6"/>
  <c r="O48" i="6"/>
  <c r="O52" i="6"/>
  <c r="M33" i="1" l="1"/>
  <c r="N31" i="1"/>
  <c r="O31" i="1"/>
  <c r="N30" i="1"/>
  <c r="O30" i="1"/>
  <c r="L11" i="2"/>
  <c r="L29" i="2" s="1"/>
  <c r="K24" i="2"/>
  <c r="K28" i="2"/>
  <c r="K25" i="2"/>
  <c r="K26" i="2"/>
  <c r="K27" i="2"/>
  <c r="K23" i="2"/>
  <c r="J30" i="2"/>
  <c r="K29" i="2"/>
  <c r="M10" i="2"/>
  <c r="N27" i="1"/>
  <c r="O4" i="7"/>
  <c r="O8" i="7" s="1"/>
  <c r="P139" i="6"/>
  <c r="P143" i="6"/>
  <c r="P142" i="6"/>
  <c r="P48" i="6"/>
  <c r="P52" i="6"/>
  <c r="P50" i="6"/>
  <c r="M39" i="6"/>
  <c r="P53" i="6"/>
  <c r="P49" i="6"/>
  <c r="P51" i="6"/>
  <c r="O103" i="6"/>
  <c r="O99" i="6"/>
  <c r="O102" i="6"/>
  <c r="P64" i="6"/>
  <c r="P109" i="6"/>
  <c r="P112" i="6"/>
  <c r="P113" i="6"/>
  <c r="O81" i="6"/>
  <c r="O85" i="6"/>
  <c r="O84" i="6"/>
  <c r="P124" i="6"/>
  <c r="P121" i="6"/>
  <c r="P125" i="6"/>
  <c r="O96" i="6"/>
  <c r="O93" i="6"/>
  <c r="O97" i="6"/>
  <c r="O78" i="6"/>
  <c r="O75" i="6"/>
  <c r="O79" i="6"/>
  <c r="P119" i="6"/>
  <c r="P118" i="6"/>
  <c r="P115" i="6"/>
  <c r="P136" i="6"/>
  <c r="P137" i="6"/>
  <c r="P133" i="6"/>
  <c r="O54" i="6"/>
  <c r="O73" i="6"/>
  <c r="O72" i="6"/>
  <c r="O69" i="6"/>
  <c r="O91" i="6"/>
  <c r="O90" i="6"/>
  <c r="O87" i="6"/>
  <c r="P127" i="6"/>
  <c r="P131" i="6"/>
  <c r="P130" i="6"/>
  <c r="Q62" i="6"/>
  <c r="Q60" i="6"/>
  <c r="Q59" i="6"/>
  <c r="N40" i="6"/>
  <c r="Q61" i="6"/>
  <c r="Q63" i="6"/>
  <c r="Q58" i="6"/>
  <c r="N33" i="1" l="1"/>
  <c r="K30" i="2"/>
  <c r="M11" i="2"/>
  <c r="M29" i="2" s="1"/>
  <c r="L25" i="2"/>
  <c r="L26" i="2"/>
  <c r="L23" i="2"/>
  <c r="L27" i="2"/>
  <c r="L24" i="2"/>
  <c r="L28" i="2"/>
  <c r="N10" i="2"/>
  <c r="Q131" i="6"/>
  <c r="Q130" i="6"/>
  <c r="Q127" i="6"/>
  <c r="Q137" i="6"/>
  <c r="Q136" i="6"/>
  <c r="Q133" i="6"/>
  <c r="P75" i="6"/>
  <c r="P78" i="6"/>
  <c r="P79" i="6"/>
  <c r="P96" i="6"/>
  <c r="P97" i="6"/>
  <c r="P93" i="6"/>
  <c r="R58" i="6"/>
  <c r="R63" i="6"/>
  <c r="R61" i="6"/>
  <c r="R59" i="6"/>
  <c r="R62" i="6"/>
  <c r="R60" i="6"/>
  <c r="P99" i="6"/>
  <c r="P102" i="6"/>
  <c r="P103" i="6"/>
  <c r="P54" i="6"/>
  <c r="P69" i="6"/>
  <c r="P72" i="6"/>
  <c r="P73" i="6"/>
  <c r="Q119" i="6"/>
  <c r="Q118" i="6"/>
  <c r="Q115" i="6"/>
  <c r="Q52" i="6"/>
  <c r="Q50" i="6"/>
  <c r="N39" i="6"/>
  <c r="Q53" i="6"/>
  <c r="Q51" i="6"/>
  <c r="Q49" i="6"/>
  <c r="Q48" i="6"/>
  <c r="Q113" i="6"/>
  <c r="Q109" i="6"/>
  <c r="Q64" i="6"/>
  <c r="Q112" i="6"/>
  <c r="Q143" i="6"/>
  <c r="Q142" i="6"/>
  <c r="Q139" i="6"/>
  <c r="Q125" i="6"/>
  <c r="Q124" i="6"/>
  <c r="Q121" i="6"/>
  <c r="P90" i="6"/>
  <c r="P91" i="6"/>
  <c r="P87" i="6"/>
  <c r="P81" i="6"/>
  <c r="P84" i="6"/>
  <c r="P85" i="6"/>
  <c r="O10" i="2" l="1"/>
  <c r="O11" i="2" s="1"/>
  <c r="O27" i="1"/>
  <c r="O33" i="1" s="1"/>
  <c r="N11" i="2"/>
  <c r="N29" i="2" s="1"/>
  <c r="L30" i="2"/>
  <c r="M26" i="2"/>
  <c r="M27" i="2"/>
  <c r="M23" i="2"/>
  <c r="M24" i="2"/>
  <c r="M28" i="2"/>
  <c r="M25" i="2"/>
  <c r="Q78" i="6"/>
  <c r="Q79" i="6"/>
  <c r="Q75" i="6"/>
  <c r="R119" i="6"/>
  <c r="R118" i="6"/>
  <c r="R115" i="6"/>
  <c r="Q97" i="6"/>
  <c r="Q96" i="6"/>
  <c r="Q93" i="6"/>
  <c r="R131" i="6"/>
  <c r="R130" i="6"/>
  <c r="R127" i="6"/>
  <c r="Q103" i="6"/>
  <c r="Q99" i="6"/>
  <c r="Q102" i="6"/>
  <c r="R125" i="6"/>
  <c r="R124" i="6"/>
  <c r="R121" i="6"/>
  <c r="R143" i="6"/>
  <c r="R142" i="6"/>
  <c r="R139" i="6"/>
  <c r="Q81" i="6"/>
  <c r="Q84" i="6"/>
  <c r="Q85" i="6"/>
  <c r="Q91" i="6"/>
  <c r="Q87" i="6"/>
  <c r="Q90" i="6"/>
  <c r="Q54" i="6"/>
  <c r="Q73" i="6"/>
  <c r="Q72" i="6"/>
  <c r="Q69" i="6"/>
  <c r="R52" i="6"/>
  <c r="R50" i="6"/>
  <c r="R53" i="6"/>
  <c r="R51" i="6"/>
  <c r="R49" i="6"/>
  <c r="R48" i="6"/>
  <c r="R137" i="6"/>
  <c r="R136" i="6"/>
  <c r="R133" i="6"/>
  <c r="R113" i="6"/>
  <c r="R112" i="6"/>
  <c r="R109" i="6"/>
  <c r="R64" i="6"/>
  <c r="N27" i="2" l="1"/>
  <c r="N25" i="2"/>
  <c r="N23" i="2"/>
  <c r="N26" i="2"/>
  <c r="N28" i="2"/>
  <c r="N24" i="2"/>
  <c r="O24" i="2"/>
  <c r="O23" i="2"/>
  <c r="O26" i="2"/>
  <c r="O28" i="2"/>
  <c r="O27" i="2"/>
  <c r="O25" i="2"/>
  <c r="M30" i="2"/>
  <c r="O29" i="2"/>
  <c r="R78" i="6"/>
  <c r="R79" i="6"/>
  <c r="R75" i="6"/>
  <c r="R97" i="6"/>
  <c r="R96" i="6"/>
  <c r="R93" i="6"/>
  <c r="R91" i="6"/>
  <c r="R87" i="6"/>
  <c r="R90" i="6"/>
  <c r="R102" i="6"/>
  <c r="R99" i="6"/>
  <c r="R103" i="6"/>
  <c r="R73" i="6"/>
  <c r="R54" i="6"/>
  <c r="R69" i="6"/>
  <c r="R72" i="6"/>
  <c r="R81" i="6"/>
  <c r="R84" i="6"/>
  <c r="R85" i="6"/>
  <c r="O30" i="2" l="1"/>
  <c r="N30" i="2"/>
  <c r="D48" i="3" l="1"/>
  <c r="D53" i="3" s="1"/>
  <c r="C48" i="3"/>
  <c r="C53" i="3" s="1"/>
  <c r="D16" i="3"/>
  <c r="C13" i="3"/>
  <c r="C20" i="3" s="1"/>
  <c r="D20" i="3" l="1"/>
  <c r="C32" i="3"/>
  <c r="C52" i="3" s="1"/>
  <c r="C54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C12" i="3"/>
  <c r="C49" i="4" s="1"/>
  <c r="E15" i="3"/>
  <c r="D87" i="4"/>
  <c r="E87" i="4"/>
  <c r="F87" i="4"/>
  <c r="G87" i="4"/>
  <c r="H87" i="4"/>
  <c r="I87" i="4"/>
  <c r="J87" i="4"/>
  <c r="K87" i="4"/>
  <c r="L87" i="4"/>
  <c r="M87" i="4"/>
  <c r="N87" i="4"/>
  <c r="D88" i="4"/>
  <c r="E88" i="4"/>
  <c r="F88" i="4"/>
  <c r="G88" i="4"/>
  <c r="H88" i="4"/>
  <c r="I88" i="4"/>
  <c r="J88" i="4"/>
  <c r="K88" i="4"/>
  <c r="L88" i="4"/>
  <c r="M88" i="4"/>
  <c r="N88" i="4"/>
  <c r="C88" i="4"/>
  <c r="C87" i="4"/>
  <c r="E36" i="3" l="1"/>
  <c r="E48" i="3" s="1"/>
  <c r="E53" i="3" s="1"/>
  <c r="E13" i="3"/>
  <c r="E22" i="3" s="1"/>
  <c r="F22" i="3" s="1"/>
  <c r="D13" i="3"/>
  <c r="E16" i="3"/>
  <c r="F15" i="3"/>
  <c r="G38" i="3" l="1"/>
  <c r="H38" i="3" s="1"/>
  <c r="I38" i="3" s="1"/>
  <c r="J38" i="3" s="1"/>
  <c r="K38" i="3" s="1"/>
  <c r="L38" i="3" s="1"/>
  <c r="M38" i="3" s="1"/>
  <c r="N38" i="3" s="1"/>
  <c r="F36" i="3"/>
  <c r="D12" i="3"/>
  <c r="D21" i="3"/>
  <c r="G15" i="3"/>
  <c r="F13" i="3"/>
  <c r="F23" i="3" s="1"/>
  <c r="G23" i="3" s="1"/>
  <c r="K13" i="3"/>
  <c r="K28" i="3" s="1"/>
  <c r="L28" i="3" s="1"/>
  <c r="M44" i="3" s="1"/>
  <c r="N44" i="3" s="1"/>
  <c r="F16" i="3"/>
  <c r="I39" i="3" l="1"/>
  <c r="J39" i="3" s="1"/>
  <c r="K39" i="3" s="1"/>
  <c r="L39" i="3" s="1"/>
  <c r="M39" i="3" s="1"/>
  <c r="N39" i="3" s="1"/>
  <c r="H39" i="3"/>
  <c r="G36" i="3"/>
  <c r="F48" i="3"/>
  <c r="F53" i="3" s="1"/>
  <c r="G16" i="3"/>
  <c r="E21" i="3"/>
  <c r="F37" i="3" s="1"/>
  <c r="D32" i="3"/>
  <c r="D52" i="3" s="1"/>
  <c r="D54" i="3" s="1"/>
  <c r="F32" i="3"/>
  <c r="F52" i="3" s="1"/>
  <c r="E12" i="3"/>
  <c r="E49" i="4" s="1"/>
  <c r="D49" i="4"/>
  <c r="F12" i="3"/>
  <c r="F49" i="4" s="1"/>
  <c r="L13" i="3"/>
  <c r="L29" i="3" s="1"/>
  <c r="M29" i="3" s="1"/>
  <c r="N45" i="3" s="1"/>
  <c r="G13" i="3"/>
  <c r="G24" i="3" s="1"/>
  <c r="H24" i="3" s="1"/>
  <c r="I40" i="3" s="1"/>
  <c r="F54" i="3" l="1"/>
  <c r="G32" i="3"/>
  <c r="G52" i="3" s="1"/>
  <c r="H36" i="3"/>
  <c r="E32" i="3"/>
  <c r="E52" i="3" s="1"/>
  <c r="L32" i="3"/>
  <c r="L52" i="3" s="1"/>
  <c r="G12" i="3"/>
  <c r="G49" i="4" s="1"/>
  <c r="H13" i="3"/>
  <c r="H16" i="3"/>
  <c r="N13" i="3"/>
  <c r="N31" i="3" s="1"/>
  <c r="M13" i="3"/>
  <c r="M30" i="3" s="1"/>
  <c r="N30" i="3" s="1"/>
  <c r="I36" i="3" l="1"/>
  <c r="N32" i="3"/>
  <c r="N52" i="3" s="1"/>
  <c r="G37" i="3"/>
  <c r="G48" i="3" s="1"/>
  <c r="G53" i="3" s="1"/>
  <c r="G54" i="3" s="1"/>
  <c r="M32" i="3"/>
  <c r="M52" i="3" s="1"/>
  <c r="H12" i="3"/>
  <c r="H49" i="4" s="1"/>
  <c r="H25" i="3"/>
  <c r="I16" i="3"/>
  <c r="J13" i="3"/>
  <c r="J27" i="3" s="1"/>
  <c r="K27" i="3" s="1"/>
  <c r="I13" i="3"/>
  <c r="K32" i="3" l="1"/>
  <c r="K52" i="3" s="1"/>
  <c r="L43" i="3"/>
  <c r="M43" i="3" s="1"/>
  <c r="N43" i="3" s="1"/>
  <c r="J36" i="3"/>
  <c r="I25" i="3"/>
  <c r="H32" i="3"/>
  <c r="H52" i="3" s="1"/>
  <c r="H37" i="3"/>
  <c r="H48" i="3" s="1"/>
  <c r="H53" i="3" s="1"/>
  <c r="H54" i="3" s="1"/>
  <c r="I12" i="3"/>
  <c r="I26" i="3"/>
  <c r="J26" i="3" s="1"/>
  <c r="J16" i="3"/>
  <c r="K16" i="3" s="1"/>
  <c r="L16" i="3" s="1"/>
  <c r="M16" i="3" s="1"/>
  <c r="N16" i="3" s="1"/>
  <c r="J32" i="3" l="1"/>
  <c r="J52" i="3" s="1"/>
  <c r="K42" i="3"/>
  <c r="L42" i="3" s="1"/>
  <c r="M42" i="3" s="1"/>
  <c r="N42" i="3" s="1"/>
  <c r="J40" i="3"/>
  <c r="K40" i="3" s="1"/>
  <c r="L40" i="3" s="1"/>
  <c r="M40" i="3" s="1"/>
  <c r="N40" i="3" s="1"/>
  <c r="J41" i="3"/>
  <c r="K41" i="3" s="1"/>
  <c r="L41" i="3" s="1"/>
  <c r="M41" i="3" s="1"/>
  <c r="N41" i="3" s="1"/>
  <c r="K36" i="3"/>
  <c r="I37" i="3"/>
  <c r="I48" i="3" s="1"/>
  <c r="I53" i="3" s="1"/>
  <c r="J12" i="3"/>
  <c r="I49" i="4"/>
  <c r="I32" i="3"/>
  <c r="I52" i="3" s="1"/>
  <c r="I54" i="3" l="1"/>
  <c r="L36" i="3"/>
  <c r="K12" i="3"/>
  <c r="J49" i="4"/>
  <c r="J37" i="3"/>
  <c r="J48" i="3" s="1"/>
  <c r="J53" i="3" s="1"/>
  <c r="J54" i="3" s="1"/>
  <c r="M36" i="3" l="1"/>
  <c r="K37" i="3"/>
  <c r="K48" i="3" s="1"/>
  <c r="K53" i="3" s="1"/>
  <c r="K54" i="3" s="1"/>
  <c r="L12" i="3"/>
  <c r="K49" i="4"/>
  <c r="N36" i="3" l="1"/>
  <c r="M12" i="3"/>
  <c r="L49" i="4"/>
  <c r="L37" i="3"/>
  <c r="L48" i="3" s="1"/>
  <c r="L53" i="3" s="1"/>
  <c r="L54" i="3" s="1"/>
  <c r="M37" i="3" l="1"/>
  <c r="M48" i="3" s="1"/>
  <c r="M53" i="3" s="1"/>
  <c r="M54" i="3" s="1"/>
  <c r="N12" i="3"/>
  <c r="N49" i="4" s="1"/>
  <c r="M49" i="4"/>
  <c r="N37" i="3" l="1"/>
  <c r="N48" i="3" s="1"/>
  <c r="N53" i="3" s="1"/>
  <c r="N54" i="3" s="1"/>
  <c r="F60" i="5" l="1"/>
  <c r="G60" i="5" s="1"/>
  <c r="F56" i="5"/>
  <c r="F52" i="5"/>
  <c r="F51" i="5"/>
  <c r="F53" i="5" s="1"/>
  <c r="G49" i="5"/>
  <c r="H49" i="5" s="1"/>
  <c r="I49" i="5" s="1"/>
  <c r="J49" i="5" s="1"/>
  <c r="K49" i="5" s="1"/>
  <c r="L49" i="5" s="1"/>
  <c r="M49" i="5" s="1"/>
  <c r="N49" i="5" s="1"/>
  <c r="O49" i="5" s="1"/>
  <c r="G48" i="5"/>
  <c r="G45" i="5"/>
  <c r="H45" i="5" s="1"/>
  <c r="I45" i="5" s="1"/>
  <c r="J45" i="5" s="1"/>
  <c r="K45" i="5" s="1"/>
  <c r="L45" i="5" s="1"/>
  <c r="M45" i="5" s="1"/>
  <c r="N45" i="5" s="1"/>
  <c r="O45" i="5" s="1"/>
  <c r="G44" i="5"/>
  <c r="F37" i="5"/>
  <c r="F38" i="5" s="1"/>
  <c r="F39" i="5" s="1"/>
  <c r="F35" i="5"/>
  <c r="G34" i="5"/>
  <c r="G37" i="5" s="1"/>
  <c r="G33" i="5"/>
  <c r="H33" i="5" s="1"/>
  <c r="I33" i="5" s="1"/>
  <c r="C26" i="5"/>
  <c r="F18" i="5"/>
  <c r="F26" i="5" s="1"/>
  <c r="G17" i="5"/>
  <c r="H17" i="5" s="1"/>
  <c r="F13" i="5"/>
  <c r="G10" i="5"/>
  <c r="G9" i="5"/>
  <c r="H9" i="5" s="1"/>
  <c r="G6" i="5"/>
  <c r="H6" i="5" s="1"/>
  <c r="I6" i="5" s="1"/>
  <c r="J6" i="5" s="1"/>
  <c r="K6" i="5" s="1"/>
  <c r="L6" i="5" s="1"/>
  <c r="M6" i="5" s="1"/>
  <c r="N6" i="5" s="1"/>
  <c r="O6" i="5" s="1"/>
  <c r="G5" i="5"/>
  <c r="H5" i="5" s="1"/>
  <c r="I5" i="5" s="1"/>
  <c r="J5" i="5" s="1"/>
  <c r="K5" i="5" s="1"/>
  <c r="L5" i="5" s="1"/>
  <c r="M5" i="5" s="1"/>
  <c r="N5" i="5" s="1"/>
  <c r="O5" i="5" s="1"/>
  <c r="G4" i="5"/>
  <c r="H4" i="5" s="1"/>
  <c r="I4" i="5" s="1"/>
  <c r="J4" i="5" s="1"/>
  <c r="K4" i="5" s="1"/>
  <c r="L4" i="5" s="1"/>
  <c r="M4" i="5" s="1"/>
  <c r="N4" i="5" s="1"/>
  <c r="O4" i="5" s="1"/>
  <c r="O51" i="1"/>
  <c r="D56" i="4"/>
  <c r="E56" i="4"/>
  <c r="D57" i="4"/>
  <c r="E57" i="4"/>
  <c r="E89" i="4" s="1"/>
  <c r="F57" i="4"/>
  <c r="F89" i="4" s="1"/>
  <c r="G57" i="4"/>
  <c r="G89" i="4" s="1"/>
  <c r="H57" i="4"/>
  <c r="H89" i="4" s="1"/>
  <c r="I57" i="4"/>
  <c r="I89" i="4" s="1"/>
  <c r="J57" i="4"/>
  <c r="J89" i="4" s="1"/>
  <c r="K57" i="4"/>
  <c r="K89" i="4" s="1"/>
  <c r="L57" i="4"/>
  <c r="L89" i="4" s="1"/>
  <c r="M57" i="4"/>
  <c r="M89" i="4" s="1"/>
  <c r="N57" i="4"/>
  <c r="N89" i="4" s="1"/>
  <c r="E50" i="4"/>
  <c r="F50" i="4"/>
  <c r="G50" i="4"/>
  <c r="H50" i="4"/>
  <c r="I50" i="4"/>
  <c r="J50" i="4"/>
  <c r="K50" i="4"/>
  <c r="L50" i="4"/>
  <c r="M50" i="4"/>
  <c r="N50" i="4"/>
  <c r="D50" i="4"/>
  <c r="C50" i="4"/>
  <c r="C57" i="4"/>
  <c r="F56" i="4"/>
  <c r="C23" i="4"/>
  <c r="H56" i="4"/>
  <c r="I23" i="4"/>
  <c r="L56" i="4"/>
  <c r="M23" i="4"/>
  <c r="E7" i="3"/>
  <c r="D7" i="3"/>
  <c r="E32" i="1"/>
  <c r="D32" i="1"/>
  <c r="E31" i="1"/>
  <c r="D31" i="1"/>
  <c r="E30" i="1"/>
  <c r="D30" i="1"/>
  <c r="E29" i="1"/>
  <c r="D29" i="1"/>
  <c r="E28" i="1"/>
  <c r="D28" i="1"/>
  <c r="E27" i="1"/>
  <c r="D27" i="1"/>
  <c r="L23" i="4" l="1"/>
  <c r="D33" i="1"/>
  <c r="E33" i="1"/>
  <c r="C89" i="4"/>
  <c r="D89" i="4"/>
  <c r="G38" i="5"/>
  <c r="N23" i="4"/>
  <c r="J23" i="4"/>
  <c r="M56" i="4"/>
  <c r="M58" i="4" s="1"/>
  <c r="I56" i="4"/>
  <c r="I58" i="4" s="1"/>
  <c r="C56" i="4"/>
  <c r="C58" i="4" s="1"/>
  <c r="K56" i="4"/>
  <c r="K58" i="4" s="1"/>
  <c r="N56" i="4"/>
  <c r="J56" i="4"/>
  <c r="L58" i="4"/>
  <c r="H58" i="4"/>
  <c r="N58" i="4"/>
  <c r="J58" i="4"/>
  <c r="F58" i="4"/>
  <c r="E58" i="4"/>
  <c r="D58" i="4"/>
  <c r="F20" i="5"/>
  <c r="F24" i="5"/>
  <c r="G61" i="5"/>
  <c r="H34" i="5"/>
  <c r="H35" i="5" s="1"/>
  <c r="F14" i="5"/>
  <c r="F28" i="5" s="1"/>
  <c r="G35" i="5"/>
  <c r="G39" i="5" s="1"/>
  <c r="G51" i="5"/>
  <c r="H60" i="5"/>
  <c r="I60" i="5" s="1"/>
  <c r="H12" i="5"/>
  <c r="I9" i="5"/>
  <c r="J33" i="5"/>
  <c r="H18" i="5"/>
  <c r="H26" i="5" s="1"/>
  <c r="G13" i="5"/>
  <c r="H10" i="5"/>
  <c r="G56" i="5"/>
  <c r="F57" i="5"/>
  <c r="F58" i="5" s="1"/>
  <c r="G12" i="5"/>
  <c r="G14" i="5" s="1"/>
  <c r="G18" i="5"/>
  <c r="G26" i="5" s="1"/>
  <c r="I17" i="5"/>
  <c r="F25" i="5"/>
  <c r="F23" i="5"/>
  <c r="F21" i="5"/>
  <c r="H44" i="5"/>
  <c r="F61" i="5"/>
  <c r="F62" i="5" s="1"/>
  <c r="F22" i="5"/>
  <c r="G52" i="5"/>
  <c r="G62" i="5" s="1"/>
  <c r="H48" i="5"/>
  <c r="E10" i="2"/>
  <c r="D23" i="4"/>
  <c r="E23" i="4"/>
  <c r="F23" i="4"/>
  <c r="K23" i="4"/>
  <c r="D10" i="2"/>
  <c r="D11" i="2" l="1"/>
  <c r="D29" i="2"/>
  <c r="G23" i="4"/>
  <c r="G56" i="4"/>
  <c r="G58" i="4" s="1"/>
  <c r="H23" i="4"/>
  <c r="I34" i="5"/>
  <c r="H37" i="5"/>
  <c r="H38" i="5" s="1"/>
  <c r="H39" i="5" s="1"/>
  <c r="H52" i="5"/>
  <c r="I48" i="5"/>
  <c r="I61" i="5" s="1"/>
  <c r="H51" i="5"/>
  <c r="I44" i="5"/>
  <c r="I18" i="5"/>
  <c r="I26" i="5" s="1"/>
  <c r="J17" i="5"/>
  <c r="G24" i="5"/>
  <c r="G23" i="5"/>
  <c r="G25" i="5"/>
  <c r="G20" i="5"/>
  <c r="G21" i="5"/>
  <c r="G22" i="5"/>
  <c r="G28" i="5"/>
  <c r="H56" i="5"/>
  <c r="G57" i="5"/>
  <c r="G58" i="5" s="1"/>
  <c r="K33" i="5"/>
  <c r="H61" i="5"/>
  <c r="J60" i="5"/>
  <c r="G53" i="5"/>
  <c r="J9" i="5"/>
  <c r="I12" i="5"/>
  <c r="H13" i="5"/>
  <c r="I10" i="5"/>
  <c r="H24" i="5"/>
  <c r="H22" i="5"/>
  <c r="H20" i="5"/>
  <c r="H25" i="5"/>
  <c r="H21" i="5"/>
  <c r="H23" i="5"/>
  <c r="H14" i="5"/>
  <c r="H28" i="5" s="1"/>
  <c r="D38" i="1"/>
  <c r="D61" i="1" s="1"/>
  <c r="E11" i="2"/>
  <c r="E23" i="2" l="1"/>
  <c r="E27" i="2"/>
  <c r="E24" i="2"/>
  <c r="E25" i="2"/>
  <c r="E28" i="2"/>
  <c r="E26" i="2"/>
  <c r="D25" i="2"/>
  <c r="D26" i="2"/>
  <c r="D23" i="2"/>
  <c r="D27" i="2"/>
  <c r="D24" i="2"/>
  <c r="D28" i="2"/>
  <c r="E29" i="2"/>
  <c r="F6" i="1"/>
  <c r="J34" i="5"/>
  <c r="I37" i="5"/>
  <c r="I38" i="5" s="1"/>
  <c r="I35" i="5"/>
  <c r="I51" i="5"/>
  <c r="J44" i="5"/>
  <c r="L33" i="5"/>
  <c r="H53" i="5"/>
  <c r="J10" i="5"/>
  <c r="I13" i="5"/>
  <c r="I14" i="5" s="1"/>
  <c r="I28" i="5" s="1"/>
  <c r="K60" i="5"/>
  <c r="I56" i="5"/>
  <c r="H57" i="5"/>
  <c r="H58" i="5" s="1"/>
  <c r="J18" i="5"/>
  <c r="J26" i="5" s="1"/>
  <c r="K17" i="5"/>
  <c r="I52" i="5"/>
  <c r="I62" i="5" s="1"/>
  <c r="J48" i="5"/>
  <c r="J61" i="5" s="1"/>
  <c r="K9" i="5"/>
  <c r="J12" i="5"/>
  <c r="I21" i="5"/>
  <c r="I20" i="5"/>
  <c r="I23" i="5"/>
  <c r="I22" i="5"/>
  <c r="I24" i="5"/>
  <c r="I25" i="5"/>
  <c r="H62" i="5"/>
  <c r="E38" i="1"/>
  <c r="E61" i="1" s="1"/>
  <c r="E30" i="2" l="1"/>
  <c r="D30" i="2"/>
  <c r="F38" i="1"/>
  <c r="G6" i="1"/>
  <c r="I39" i="5"/>
  <c r="K34" i="5"/>
  <c r="J37" i="5"/>
  <c r="J38" i="5" s="1"/>
  <c r="J35" i="5"/>
  <c r="L17" i="5"/>
  <c r="K18" i="5"/>
  <c r="K26" i="5" s="1"/>
  <c r="K44" i="5"/>
  <c r="J51" i="5"/>
  <c r="K12" i="5"/>
  <c r="L9" i="5"/>
  <c r="J25" i="5"/>
  <c r="J23" i="5"/>
  <c r="J21" i="5"/>
  <c r="J20" i="5"/>
  <c r="J22" i="5"/>
  <c r="J24" i="5"/>
  <c r="J13" i="5"/>
  <c r="J14" i="5" s="1"/>
  <c r="J28" i="5" s="1"/>
  <c r="K10" i="5"/>
  <c r="M33" i="5"/>
  <c r="I53" i="5"/>
  <c r="K48" i="5"/>
  <c r="K61" i="5" s="1"/>
  <c r="J52" i="5"/>
  <c r="J62" i="5" s="1"/>
  <c r="L60" i="5"/>
  <c r="I57" i="5"/>
  <c r="I58" i="5" s="1"/>
  <c r="J56" i="5"/>
  <c r="F60" i="1" l="1"/>
  <c r="J39" i="5"/>
  <c r="G38" i="1"/>
  <c r="H6" i="1"/>
  <c r="K35" i="5"/>
  <c r="K37" i="5"/>
  <c r="K38" i="5" s="1"/>
  <c r="L34" i="5"/>
  <c r="J53" i="5"/>
  <c r="M60" i="5"/>
  <c r="N33" i="5"/>
  <c r="K51" i="5"/>
  <c r="L44" i="5"/>
  <c r="K22" i="5"/>
  <c r="K21" i="5"/>
  <c r="K24" i="5"/>
  <c r="K23" i="5"/>
  <c r="K25" i="5"/>
  <c r="K20" i="5"/>
  <c r="K13" i="5"/>
  <c r="L10" i="5"/>
  <c r="L18" i="5"/>
  <c r="L26" i="5" s="1"/>
  <c r="M17" i="5"/>
  <c r="L12" i="5"/>
  <c r="M9" i="5"/>
  <c r="K56" i="5"/>
  <c r="J57" i="5"/>
  <c r="J58" i="5" s="1"/>
  <c r="K52" i="5"/>
  <c r="K62" i="5" s="1"/>
  <c r="L48" i="5"/>
  <c r="K14" i="5"/>
  <c r="K28" i="5" s="1"/>
  <c r="E62" i="1" l="1"/>
  <c r="G60" i="1"/>
  <c r="H38" i="1"/>
  <c r="I38" i="1"/>
  <c r="I60" i="1" s="1"/>
  <c r="I6" i="1"/>
  <c r="M34" i="5"/>
  <c r="L37" i="5"/>
  <c r="L38" i="5" s="1"/>
  <c r="L35" i="5"/>
  <c r="K39" i="5"/>
  <c r="K57" i="5"/>
  <c r="L56" i="5"/>
  <c r="L24" i="5"/>
  <c r="L22" i="5"/>
  <c r="L20" i="5"/>
  <c r="L23" i="5"/>
  <c r="L25" i="5"/>
  <c r="L21" i="5"/>
  <c r="K58" i="5"/>
  <c r="K53" i="5"/>
  <c r="M48" i="5"/>
  <c r="L52" i="5"/>
  <c r="M12" i="5"/>
  <c r="N9" i="5"/>
  <c r="L13" i="5"/>
  <c r="L14" i="5" s="1"/>
  <c r="L28" i="5" s="1"/>
  <c r="M10" i="5"/>
  <c r="O33" i="5"/>
  <c r="L61" i="5"/>
  <c r="M61" i="5"/>
  <c r="N60" i="5"/>
  <c r="M18" i="5"/>
  <c r="M26" i="5" s="1"/>
  <c r="N17" i="5"/>
  <c r="L51" i="5"/>
  <c r="M44" i="5"/>
  <c r="H60" i="1" l="1"/>
  <c r="L39" i="5"/>
  <c r="J38" i="1"/>
  <c r="J60" i="1" s="1"/>
  <c r="J6" i="1"/>
  <c r="M37" i="5"/>
  <c r="M38" i="5" s="1"/>
  <c r="M35" i="5"/>
  <c r="N34" i="5"/>
  <c r="M51" i="5"/>
  <c r="N44" i="5"/>
  <c r="L53" i="5"/>
  <c r="M13" i="5"/>
  <c r="M14" i="5" s="1"/>
  <c r="M28" i="5" s="1"/>
  <c r="N10" i="5"/>
  <c r="N18" i="5"/>
  <c r="N26" i="5" s="1"/>
  <c r="O17" i="5"/>
  <c r="O60" i="5"/>
  <c r="M25" i="5"/>
  <c r="M24" i="5"/>
  <c r="M21" i="5"/>
  <c r="M20" i="5"/>
  <c r="M22" i="5"/>
  <c r="M23" i="5"/>
  <c r="O9" i="5"/>
  <c r="O12" i="5" s="1"/>
  <c r="N12" i="5"/>
  <c r="L62" i="5"/>
  <c r="M56" i="5"/>
  <c r="L57" i="5"/>
  <c r="L58" i="5" s="1"/>
  <c r="M52" i="5"/>
  <c r="M62" i="5" s="1"/>
  <c r="N48" i="5"/>
  <c r="N61" i="5" s="1"/>
  <c r="K38" i="1" l="1"/>
  <c r="K60" i="1" s="1"/>
  <c r="K6" i="1"/>
  <c r="O34" i="5"/>
  <c r="N37" i="5"/>
  <c r="N38" i="5" s="1"/>
  <c r="N35" i="5"/>
  <c r="M39" i="5"/>
  <c r="N25" i="5"/>
  <c r="N23" i="5"/>
  <c r="N21" i="5"/>
  <c r="N20" i="5"/>
  <c r="N22" i="5"/>
  <c r="N24" i="5"/>
  <c r="N51" i="5"/>
  <c r="O44" i="5"/>
  <c r="O51" i="5" s="1"/>
  <c r="M57" i="5"/>
  <c r="M58" i="5" s="1"/>
  <c r="N56" i="5"/>
  <c r="M53" i="5"/>
  <c r="N52" i="5"/>
  <c r="N62" i="5" s="1"/>
  <c r="O48" i="5"/>
  <c r="O52" i="5" s="1"/>
  <c r="O18" i="5"/>
  <c r="O26" i="5" s="1"/>
  <c r="N13" i="5"/>
  <c r="N14" i="5" s="1"/>
  <c r="N28" i="5" s="1"/>
  <c r="O10" i="5"/>
  <c r="O13" i="5" s="1"/>
  <c r="O14" i="5" s="1"/>
  <c r="L38" i="1" l="1"/>
  <c r="L60" i="1" s="1"/>
  <c r="O28" i="5"/>
  <c r="N39" i="5"/>
  <c r="L6" i="1"/>
  <c r="O37" i="5"/>
  <c r="O38" i="5" s="1"/>
  <c r="O35" i="5"/>
  <c r="N53" i="5"/>
  <c r="O20" i="5"/>
  <c r="O22" i="5"/>
  <c r="O21" i="5"/>
  <c r="O24" i="5"/>
  <c r="O23" i="5"/>
  <c r="O25" i="5"/>
  <c r="O56" i="5"/>
  <c r="O57" i="5" s="1"/>
  <c r="O58" i="5" s="1"/>
  <c r="N57" i="5"/>
  <c r="N58" i="5" s="1"/>
  <c r="O61" i="5"/>
  <c r="O62" i="5" s="1"/>
  <c r="O53" i="5"/>
  <c r="O39" i="5" l="1"/>
  <c r="M38" i="1"/>
  <c r="M60" i="1" s="1"/>
  <c r="M6" i="1"/>
  <c r="N38" i="1" l="1"/>
  <c r="N60" i="1" s="1"/>
  <c r="N6" i="1"/>
  <c r="O6" i="1" l="1"/>
  <c r="O38" i="1"/>
  <c r="O60" i="1" s="1"/>
  <c r="E11" i="1" l="1"/>
  <c r="D11" i="1"/>
  <c r="F140" i="6"/>
  <c r="F128" i="6"/>
  <c r="F116" i="6"/>
  <c r="F100" i="6"/>
  <c r="F88" i="6"/>
  <c r="F76" i="6"/>
  <c r="F134" i="6"/>
  <c r="F122" i="6"/>
  <c r="F110" i="6"/>
  <c r="F94" i="6"/>
  <c r="F82" i="6"/>
  <c r="F70" i="6"/>
  <c r="E41" i="1" l="1"/>
  <c r="E47" i="1" s="1"/>
  <c r="E48" i="1" s="1"/>
  <c r="E49" i="1" s="1"/>
  <c r="E16" i="1"/>
  <c r="E19" i="1"/>
  <c r="E13" i="1"/>
  <c r="D15" i="1"/>
  <c r="D41" i="1"/>
  <c r="D47" i="1" s="1"/>
  <c r="D48" i="1" s="1"/>
  <c r="D19" i="1"/>
  <c r="D17" i="1"/>
  <c r="D16" i="1"/>
  <c r="I70" i="6"/>
  <c r="J70" i="6"/>
  <c r="K70" i="6"/>
  <c r="L70" i="6"/>
  <c r="M70" i="6"/>
  <c r="N70" i="6"/>
  <c r="O70" i="6"/>
  <c r="P70" i="6"/>
  <c r="Q70" i="6"/>
  <c r="R70" i="6"/>
  <c r="I100" i="6"/>
  <c r="J100" i="6"/>
  <c r="K100" i="6"/>
  <c r="L100" i="6"/>
  <c r="M100" i="6"/>
  <c r="N100" i="6"/>
  <c r="O100" i="6"/>
  <c r="P100" i="6"/>
  <c r="Q100" i="6"/>
  <c r="R100" i="6"/>
  <c r="E14" i="1"/>
  <c r="E17" i="1"/>
  <c r="I82" i="6"/>
  <c r="J82" i="6"/>
  <c r="K82" i="6"/>
  <c r="L82" i="6"/>
  <c r="M82" i="6"/>
  <c r="N82" i="6"/>
  <c r="O82" i="6"/>
  <c r="P82" i="6"/>
  <c r="Q82" i="6"/>
  <c r="R82" i="6"/>
  <c r="I134" i="6"/>
  <c r="K134" i="6"/>
  <c r="J134" i="6"/>
  <c r="L134" i="6"/>
  <c r="M134" i="6"/>
  <c r="N134" i="6"/>
  <c r="O134" i="6"/>
  <c r="P134" i="6"/>
  <c r="Q134" i="6"/>
  <c r="R134" i="6"/>
  <c r="I116" i="6"/>
  <c r="J116" i="6"/>
  <c r="K116" i="6"/>
  <c r="L116" i="6"/>
  <c r="M116" i="6"/>
  <c r="N116" i="6"/>
  <c r="O116" i="6"/>
  <c r="P116" i="6"/>
  <c r="Q116" i="6"/>
  <c r="R116" i="6"/>
  <c r="J122" i="6"/>
  <c r="I122" i="6"/>
  <c r="K122" i="6"/>
  <c r="L122" i="6"/>
  <c r="M122" i="6"/>
  <c r="N122" i="6"/>
  <c r="O122" i="6"/>
  <c r="P122" i="6"/>
  <c r="Q122" i="6"/>
  <c r="R122" i="6"/>
  <c r="E18" i="1"/>
  <c r="E15" i="1"/>
  <c r="I94" i="6"/>
  <c r="J94" i="6"/>
  <c r="K94" i="6"/>
  <c r="L94" i="6"/>
  <c r="M94" i="6"/>
  <c r="N94" i="6"/>
  <c r="O94" i="6"/>
  <c r="P94" i="6"/>
  <c r="Q94" i="6"/>
  <c r="R94" i="6"/>
  <c r="I76" i="6"/>
  <c r="J76" i="6"/>
  <c r="K76" i="6"/>
  <c r="L76" i="6"/>
  <c r="M76" i="6"/>
  <c r="N76" i="6"/>
  <c r="O76" i="6"/>
  <c r="P76" i="6"/>
  <c r="Q76" i="6"/>
  <c r="R76" i="6"/>
  <c r="I128" i="6"/>
  <c r="J128" i="6"/>
  <c r="K128" i="6"/>
  <c r="L128" i="6"/>
  <c r="M128" i="6"/>
  <c r="N128" i="6"/>
  <c r="O128" i="6"/>
  <c r="P128" i="6"/>
  <c r="Q128" i="6"/>
  <c r="R128" i="6"/>
  <c r="J110" i="6"/>
  <c r="I110" i="6"/>
  <c r="K110" i="6"/>
  <c r="L110" i="6"/>
  <c r="M110" i="6"/>
  <c r="N110" i="6"/>
  <c r="O110" i="6"/>
  <c r="P110" i="6"/>
  <c r="Q110" i="6"/>
  <c r="R110" i="6"/>
  <c r="I88" i="6"/>
  <c r="J88" i="6"/>
  <c r="K88" i="6"/>
  <c r="L88" i="6"/>
  <c r="M88" i="6"/>
  <c r="N88" i="6"/>
  <c r="O88" i="6"/>
  <c r="P88" i="6"/>
  <c r="Q88" i="6"/>
  <c r="R88" i="6"/>
  <c r="J140" i="6"/>
  <c r="I140" i="6"/>
  <c r="K140" i="6"/>
  <c r="L140" i="6"/>
  <c r="M140" i="6"/>
  <c r="N140" i="6"/>
  <c r="O140" i="6"/>
  <c r="P140" i="6"/>
  <c r="Q140" i="6"/>
  <c r="R140" i="6"/>
  <c r="D18" i="1"/>
  <c r="D13" i="1"/>
  <c r="D14" i="1"/>
  <c r="D50" i="1"/>
  <c r="D49" i="1"/>
  <c r="E50" i="1" l="1"/>
  <c r="E21" i="1"/>
  <c r="E22" i="1" s="1"/>
  <c r="D21" i="1"/>
  <c r="D22" i="1" s="1"/>
  <c r="F71" i="6"/>
  <c r="O71" i="6" s="1"/>
  <c r="F111" i="6"/>
  <c r="N111" i="6" s="1"/>
  <c r="F141" i="6"/>
  <c r="M141" i="6" s="1"/>
  <c r="O77" i="6"/>
  <c r="F77" i="6"/>
  <c r="R77" i="6" s="1"/>
  <c r="F117" i="6"/>
  <c r="N117" i="6" s="1"/>
  <c r="F95" i="6"/>
  <c r="I95" i="6" s="1"/>
  <c r="F129" i="6"/>
  <c r="O129" i="6" s="1"/>
  <c r="F123" i="6"/>
  <c r="Q123" i="6" s="1"/>
  <c r="J89" i="6"/>
  <c r="I89" i="6"/>
  <c r="P89" i="6"/>
  <c r="F89" i="6"/>
  <c r="R89" i="6" s="1"/>
  <c r="F135" i="6"/>
  <c r="R135" i="6" s="1"/>
  <c r="F83" i="6"/>
  <c r="P83" i="6" s="1"/>
  <c r="J101" i="6"/>
  <c r="F101" i="6"/>
  <c r="K101" i="6" s="1"/>
  <c r="L101" i="6"/>
  <c r="F120" i="6"/>
  <c r="Q120" i="6" s="1"/>
  <c r="F92" i="6"/>
  <c r="O92" i="6" s="1"/>
  <c r="F144" i="6"/>
  <c r="Q144" i="6" s="1"/>
  <c r="F114" i="6"/>
  <c r="O114" i="6" s="1"/>
  <c r="F104" i="6"/>
  <c r="P104" i="6" s="1"/>
  <c r="L98" i="6"/>
  <c r="F98" i="6"/>
  <c r="O98" i="6" s="1"/>
  <c r="F132" i="6"/>
  <c r="F138" i="6"/>
  <c r="R138" i="6" s="1"/>
  <c r="P98" i="6" l="1"/>
  <c r="I92" i="6"/>
  <c r="L129" i="6"/>
  <c r="I101" i="6"/>
  <c r="P117" i="6"/>
  <c r="L138" i="6"/>
  <c r="I138" i="6"/>
  <c r="M101" i="6"/>
  <c r="N89" i="6"/>
  <c r="R123" i="6"/>
  <c r="O138" i="6"/>
  <c r="L114" i="6"/>
  <c r="K138" i="6"/>
  <c r="J114" i="6"/>
  <c r="P92" i="6"/>
  <c r="K89" i="6"/>
  <c r="K123" i="6"/>
  <c r="M123" i="6"/>
  <c r="L123" i="6"/>
  <c r="J141" i="6"/>
  <c r="P135" i="6"/>
  <c r="I98" i="6"/>
  <c r="P114" i="6"/>
  <c r="L92" i="6"/>
  <c r="N101" i="6"/>
  <c r="L89" i="6"/>
  <c r="M89" i="6"/>
  <c r="O89" i="6"/>
  <c r="I123" i="6"/>
  <c r="Q141" i="6"/>
  <c r="R132" i="6"/>
  <c r="N132" i="6"/>
  <c r="K132" i="6"/>
  <c r="Q132" i="6"/>
  <c r="M132" i="6"/>
  <c r="P132" i="6"/>
  <c r="L132" i="6"/>
  <c r="I132" i="6"/>
  <c r="O132" i="6"/>
  <c r="J132" i="6"/>
  <c r="J104" i="6"/>
  <c r="R144" i="6"/>
  <c r="J120" i="6"/>
  <c r="O83" i="6"/>
  <c r="I83" i="6"/>
  <c r="K135" i="6"/>
  <c r="O135" i="6"/>
  <c r="Q104" i="6"/>
  <c r="M144" i="6"/>
  <c r="Q98" i="6"/>
  <c r="R104" i="6"/>
  <c r="Q114" i="6"/>
  <c r="N144" i="6"/>
  <c r="M92" i="6"/>
  <c r="N120" i="6"/>
  <c r="M138" i="6"/>
  <c r="Q138" i="6"/>
  <c r="J98" i="6"/>
  <c r="N98" i="6"/>
  <c r="R98" i="6"/>
  <c r="K104" i="6"/>
  <c r="O104" i="6"/>
  <c r="F74" i="6"/>
  <c r="I114" i="6"/>
  <c r="N114" i="6"/>
  <c r="R114" i="6"/>
  <c r="J144" i="6"/>
  <c r="O144" i="6"/>
  <c r="F80" i="6"/>
  <c r="J92" i="6"/>
  <c r="N92" i="6"/>
  <c r="R92" i="6"/>
  <c r="K120" i="6"/>
  <c r="O120" i="6"/>
  <c r="Q101" i="6"/>
  <c r="R101" i="6"/>
  <c r="N83" i="6"/>
  <c r="M83" i="6"/>
  <c r="Q83" i="6"/>
  <c r="I135" i="6"/>
  <c r="J135" i="6"/>
  <c r="J123" i="6"/>
  <c r="P123" i="6"/>
  <c r="M104" i="6"/>
  <c r="P138" i="6"/>
  <c r="M98" i="6"/>
  <c r="N104" i="6"/>
  <c r="M114" i="6"/>
  <c r="K144" i="6"/>
  <c r="Q92" i="6"/>
  <c r="R120" i="6"/>
  <c r="J138" i="6"/>
  <c r="N138" i="6"/>
  <c r="K98" i="6"/>
  <c r="I104" i="6"/>
  <c r="L104" i="6"/>
  <c r="F126" i="6"/>
  <c r="K114" i="6"/>
  <c r="I144" i="6"/>
  <c r="L144" i="6"/>
  <c r="P144" i="6"/>
  <c r="F86" i="6"/>
  <c r="K92" i="6"/>
  <c r="I120" i="6"/>
  <c r="L120" i="6"/>
  <c r="P120" i="6"/>
  <c r="P101" i="6"/>
  <c r="O101" i="6"/>
  <c r="R83" i="6"/>
  <c r="L83" i="6"/>
  <c r="L135" i="6"/>
  <c r="M135" i="6"/>
  <c r="N135" i="6"/>
  <c r="Q89" i="6"/>
  <c r="N123" i="6"/>
  <c r="O123" i="6"/>
  <c r="M120" i="6"/>
  <c r="J83" i="6"/>
  <c r="K83" i="6"/>
  <c r="Q135" i="6"/>
  <c r="K129" i="6"/>
  <c r="J129" i="6"/>
  <c r="J95" i="6"/>
  <c r="M95" i="6"/>
  <c r="Q95" i="6"/>
  <c r="Q117" i="6"/>
  <c r="R117" i="6"/>
  <c r="P77" i="6"/>
  <c r="Q77" i="6"/>
  <c r="K77" i="6"/>
  <c r="R141" i="6"/>
  <c r="I141" i="6"/>
  <c r="K111" i="6"/>
  <c r="R111" i="6"/>
  <c r="J111" i="6"/>
  <c r="O111" i="6"/>
  <c r="N71" i="6"/>
  <c r="I129" i="6"/>
  <c r="N129" i="6"/>
  <c r="K95" i="6"/>
  <c r="L95" i="6"/>
  <c r="O117" i="6"/>
  <c r="K117" i="6"/>
  <c r="J77" i="6"/>
  <c r="L141" i="6"/>
  <c r="L111" i="6"/>
  <c r="I111" i="6"/>
  <c r="M129" i="6"/>
  <c r="R129" i="6"/>
  <c r="N95" i="6"/>
  <c r="O95" i="6"/>
  <c r="P95" i="6"/>
  <c r="I117" i="6"/>
  <c r="J117" i="6"/>
  <c r="L77" i="6"/>
  <c r="I77" i="6"/>
  <c r="N77" i="6"/>
  <c r="K141" i="6"/>
  <c r="P141" i="6"/>
  <c r="Q111" i="6"/>
  <c r="M111" i="6"/>
  <c r="I71" i="6"/>
  <c r="L71" i="6"/>
  <c r="P71" i="6"/>
  <c r="Q71" i="6"/>
  <c r="R71" i="6"/>
  <c r="P129" i="6"/>
  <c r="Q129" i="6"/>
  <c r="R95" i="6"/>
  <c r="L117" i="6"/>
  <c r="M117" i="6"/>
  <c r="M77" i="6"/>
  <c r="N141" i="6"/>
  <c r="O141" i="6"/>
  <c r="P111" i="6"/>
  <c r="J71" i="6"/>
  <c r="K71" i="6"/>
  <c r="M71" i="6"/>
  <c r="O80" i="6" l="1"/>
  <c r="K80" i="6"/>
  <c r="R80" i="6"/>
  <c r="N80" i="6"/>
  <c r="J80" i="6"/>
  <c r="P80" i="6"/>
  <c r="Q80" i="6"/>
  <c r="M80" i="6"/>
  <c r="L80" i="6"/>
  <c r="I80" i="6"/>
  <c r="R86" i="6"/>
  <c r="N86" i="6"/>
  <c r="J86" i="6"/>
  <c r="Q86" i="6"/>
  <c r="M86" i="6"/>
  <c r="O86" i="6"/>
  <c r="P86" i="6"/>
  <c r="L86" i="6"/>
  <c r="I86" i="6"/>
  <c r="K86" i="6"/>
  <c r="K105" i="6" s="1"/>
  <c r="G149" i="6" s="1"/>
  <c r="R74" i="6"/>
  <c r="N74" i="6"/>
  <c r="J74" i="6"/>
  <c r="J105" i="6" s="1"/>
  <c r="F149" i="6" s="1"/>
  <c r="L74" i="6"/>
  <c r="K74" i="6"/>
  <c r="Q74" i="6"/>
  <c r="M74" i="6"/>
  <c r="P74" i="6"/>
  <c r="P105" i="6" s="1"/>
  <c r="L149" i="6" s="1"/>
  <c r="I74" i="6"/>
  <c r="O74" i="6"/>
  <c r="Q105" i="6"/>
  <c r="M149" i="6" s="1"/>
  <c r="N126" i="6"/>
  <c r="N145" i="6" s="1"/>
  <c r="J150" i="6" s="1"/>
  <c r="Q126" i="6"/>
  <c r="Q145" i="6" s="1"/>
  <c r="M150" i="6" s="1"/>
  <c r="M126" i="6"/>
  <c r="M145" i="6" s="1"/>
  <c r="I150" i="6" s="1"/>
  <c r="K126" i="6"/>
  <c r="K145" i="6" s="1"/>
  <c r="G150" i="6" s="1"/>
  <c r="P126" i="6"/>
  <c r="P145" i="6" s="1"/>
  <c r="L150" i="6" s="1"/>
  <c r="L126" i="6"/>
  <c r="L145" i="6" s="1"/>
  <c r="H150" i="6" s="1"/>
  <c r="I126" i="6"/>
  <c r="I145" i="6" s="1"/>
  <c r="E150" i="6" s="1"/>
  <c r="J126" i="6"/>
  <c r="J145" i="6" s="1"/>
  <c r="F150" i="6" s="1"/>
  <c r="O126" i="6"/>
  <c r="O145" i="6" s="1"/>
  <c r="K150" i="6" s="1"/>
  <c r="R126" i="6"/>
  <c r="R145" i="6" s="1"/>
  <c r="N150" i="6" s="1"/>
  <c r="M105" i="6" l="1"/>
  <c r="I149" i="6" s="1"/>
  <c r="O105" i="6"/>
  <c r="K149" i="6" s="1"/>
  <c r="N105" i="6"/>
  <c r="J149" i="6" s="1"/>
  <c r="J151" i="6" s="1"/>
  <c r="K24" i="7" s="1"/>
  <c r="L105" i="6"/>
  <c r="H149" i="6" s="1"/>
  <c r="H151" i="6" s="1"/>
  <c r="I24" i="7" s="1"/>
  <c r="I105" i="6"/>
  <c r="E149" i="6" s="1"/>
  <c r="R105" i="6"/>
  <c r="N149" i="6" s="1"/>
  <c r="I151" i="6"/>
  <c r="J24" i="7" s="1"/>
  <c r="J26" i="7" s="1"/>
  <c r="J5" i="1" s="1"/>
  <c r="L151" i="6"/>
  <c r="M24" i="7" s="1"/>
  <c r="F151" i="6"/>
  <c r="G24" i="7" s="1"/>
  <c r="E151" i="6"/>
  <c r="F24" i="7" s="1"/>
  <c r="N151" i="6"/>
  <c r="O24" i="7" s="1"/>
  <c r="M151" i="6"/>
  <c r="N24" i="7" s="1"/>
  <c r="K151" i="6"/>
  <c r="L24" i="7" s="1"/>
  <c r="G151" i="6"/>
  <c r="H24" i="7" s="1"/>
  <c r="J25" i="7" l="1"/>
  <c r="J4" i="1" s="1"/>
  <c r="J11" i="1" s="1"/>
  <c r="J13" i="1" s="1"/>
  <c r="O26" i="7"/>
  <c r="O5" i="1" s="1"/>
  <c r="O25" i="7"/>
  <c r="O4" i="1" s="1"/>
  <c r="G26" i="7"/>
  <c r="G5" i="1" s="1"/>
  <c r="G25" i="7"/>
  <c r="G4" i="1" s="1"/>
  <c r="H26" i="7"/>
  <c r="H5" i="1" s="1"/>
  <c r="H25" i="7"/>
  <c r="H4" i="1" s="1"/>
  <c r="F26" i="7"/>
  <c r="F5" i="1" s="1"/>
  <c r="F25" i="7"/>
  <c r="F4" i="1" s="1"/>
  <c r="I26" i="7"/>
  <c r="I5" i="1" s="1"/>
  <c r="I25" i="7"/>
  <c r="I4" i="1" s="1"/>
  <c r="L26" i="7"/>
  <c r="L5" i="1" s="1"/>
  <c r="L25" i="7"/>
  <c r="L4" i="1" s="1"/>
  <c r="N26" i="7"/>
  <c r="N5" i="1" s="1"/>
  <c r="N25" i="7"/>
  <c r="N4" i="1" s="1"/>
  <c r="K26" i="7"/>
  <c r="K5" i="1" s="1"/>
  <c r="K25" i="7"/>
  <c r="K4" i="1" s="1"/>
  <c r="M26" i="7"/>
  <c r="M5" i="1" s="1"/>
  <c r="M25" i="7"/>
  <c r="M4" i="1" s="1"/>
  <c r="N11" i="1" l="1"/>
  <c r="N13" i="1" s="1"/>
  <c r="I11" i="1"/>
  <c r="F11" i="1"/>
  <c r="G11" i="1"/>
  <c r="G14" i="1" s="1"/>
  <c r="K11" i="1"/>
  <c r="J14" i="1"/>
  <c r="M11" i="1"/>
  <c r="L11" i="1"/>
  <c r="H11" i="1"/>
  <c r="H14" i="1" s="1"/>
  <c r="O11" i="1"/>
  <c r="O13" i="1" s="1"/>
  <c r="J41" i="1"/>
  <c r="J47" i="1" s="1"/>
  <c r="J48" i="1" s="1"/>
  <c r="J19" i="1"/>
  <c r="J17" i="1"/>
  <c r="J16" i="1"/>
  <c r="J15" i="1"/>
  <c r="J59" i="1"/>
  <c r="J18" i="1"/>
  <c r="O14" i="1"/>
  <c r="N14" i="1" l="1"/>
  <c r="J21" i="1"/>
  <c r="J22" i="1" s="1"/>
  <c r="H13" i="1"/>
  <c r="L41" i="1"/>
  <c r="L47" i="1" s="1"/>
  <c r="L48" i="1" s="1"/>
  <c r="L19" i="1"/>
  <c r="L16" i="1"/>
  <c r="L18" i="1"/>
  <c r="L17" i="1"/>
  <c r="L15" i="1"/>
  <c r="L59" i="1"/>
  <c r="F18" i="1"/>
  <c r="F19" i="1"/>
  <c r="F59" i="1"/>
  <c r="F16" i="1"/>
  <c r="F17" i="1"/>
  <c r="F41" i="1"/>
  <c r="F47" i="1" s="1"/>
  <c r="F48" i="1" s="1"/>
  <c r="F15" i="1"/>
  <c r="L14" i="1"/>
  <c r="F14" i="1"/>
  <c r="I59" i="1"/>
  <c r="I15" i="1"/>
  <c r="I41" i="1"/>
  <c r="I47" i="1" s="1"/>
  <c r="I48" i="1" s="1"/>
  <c r="I49" i="1" s="1"/>
  <c r="J50" i="1" s="1"/>
  <c r="I16" i="1"/>
  <c r="I18" i="1"/>
  <c r="I17" i="1"/>
  <c r="I19" i="1"/>
  <c r="M19" i="1"/>
  <c r="M15" i="1"/>
  <c r="M41" i="1"/>
  <c r="M47" i="1" s="1"/>
  <c r="M48" i="1" s="1"/>
  <c r="M16" i="1"/>
  <c r="M18" i="1"/>
  <c r="M59" i="1"/>
  <c r="M17" i="1"/>
  <c r="G59" i="1"/>
  <c r="G18" i="1"/>
  <c r="G16" i="1"/>
  <c r="G19" i="1"/>
  <c r="G15" i="1"/>
  <c r="G41" i="1"/>
  <c r="G47" i="1" s="1"/>
  <c r="G48" i="1" s="1"/>
  <c r="G49" i="1" s="1"/>
  <c r="G17" i="1"/>
  <c r="O19" i="1"/>
  <c r="O17" i="1"/>
  <c r="O16" i="1"/>
  <c r="O59" i="1"/>
  <c r="O15" i="1"/>
  <c r="O21" i="1" s="1"/>
  <c r="O22" i="1" s="1"/>
  <c r="O41" i="1"/>
  <c r="O47" i="1" s="1"/>
  <c r="O48" i="1" s="1"/>
  <c r="O18" i="1"/>
  <c r="L13" i="1"/>
  <c r="I14" i="1"/>
  <c r="G13" i="1"/>
  <c r="I13" i="1"/>
  <c r="N41" i="1"/>
  <c r="N47" i="1" s="1"/>
  <c r="N48" i="1" s="1"/>
  <c r="N16" i="1"/>
  <c r="N17" i="1"/>
  <c r="N15" i="1"/>
  <c r="N59" i="1"/>
  <c r="N18" i="1"/>
  <c r="N19" i="1"/>
  <c r="K17" i="1"/>
  <c r="K16" i="1"/>
  <c r="K15" i="1"/>
  <c r="K41" i="1"/>
  <c r="K47" i="1" s="1"/>
  <c r="K48" i="1" s="1"/>
  <c r="K49" i="1" s="1"/>
  <c r="K59" i="1"/>
  <c r="K18" i="1"/>
  <c r="K19" i="1"/>
  <c r="H59" i="1"/>
  <c r="H18" i="1"/>
  <c r="H15" i="1"/>
  <c r="H19" i="1"/>
  <c r="H17" i="1"/>
  <c r="H41" i="1"/>
  <c r="H47" i="1" s="1"/>
  <c r="H48" i="1" s="1"/>
  <c r="H49" i="1" s="1"/>
  <c r="H16" i="1"/>
  <c r="K14" i="1"/>
  <c r="M13" i="1"/>
  <c r="K13" i="1"/>
  <c r="F13" i="1"/>
  <c r="F21" i="1" s="1"/>
  <c r="F22" i="1" s="1"/>
  <c r="M14" i="1"/>
  <c r="L50" i="1" l="1"/>
  <c r="L51" i="1" s="1"/>
  <c r="M49" i="1"/>
  <c r="J49" i="1"/>
  <c r="K50" i="1" s="1"/>
  <c r="K51" i="1" s="1"/>
  <c r="N49" i="1"/>
  <c r="L21" i="1"/>
  <c r="L22" i="1" s="1"/>
  <c r="G21" i="1"/>
  <c r="G22" i="1" s="1"/>
  <c r="H21" i="1"/>
  <c r="H22" i="1" s="1"/>
  <c r="M21" i="1"/>
  <c r="M22" i="1" s="1"/>
  <c r="N21" i="1"/>
  <c r="N22" i="1" s="1"/>
  <c r="K21" i="1"/>
  <c r="K22" i="1" s="1"/>
  <c r="I50" i="1"/>
  <c r="I51" i="1" s="1"/>
  <c r="I21" i="1"/>
  <c r="I22" i="1" s="1"/>
  <c r="H50" i="1"/>
  <c r="H51" i="1" s="1"/>
  <c r="N50" i="1"/>
  <c r="N51" i="1" s="1"/>
  <c r="O49" i="1"/>
  <c r="F50" i="1"/>
  <c r="F49" i="1"/>
  <c r="G50" i="1" s="1"/>
  <c r="L49" i="1"/>
  <c r="M50" i="1" s="1"/>
  <c r="M51" i="1" s="1"/>
  <c r="J51" i="1" l="1"/>
  <c r="D53" i="1" s="1"/>
  <c r="D54" i="1" s="1"/>
</calcChain>
</file>

<file path=xl/sharedStrings.xml><?xml version="1.0" encoding="utf-8"?>
<sst xmlns="http://schemas.openxmlformats.org/spreadsheetml/2006/main" count="585" uniqueCount="237">
  <si>
    <t>Total Costs for OpenLMIS.Org</t>
  </si>
  <si>
    <t>Total</t>
  </si>
  <si>
    <t>Private Health Software Development &amp; Maintenance</t>
  </si>
  <si>
    <t>Public Health (Modified) Maintenance</t>
  </si>
  <si>
    <t>Sales</t>
  </si>
  <si>
    <t>Marketing &amp; Community Management</t>
  </si>
  <si>
    <t>Finance</t>
  </si>
  <si>
    <t>Private Health Direct Sales</t>
  </si>
  <si>
    <t>Private Health Indirect Channel Partner Sales</t>
  </si>
  <si>
    <t>Public Health (Licensing + Support)</t>
  </si>
  <si>
    <t>Advertisements</t>
  </si>
  <si>
    <t xml:space="preserve">Conferences </t>
  </si>
  <si>
    <t>Training / Certification / Consulting</t>
  </si>
  <si>
    <t>Other products (ag, other sectors)</t>
  </si>
  <si>
    <t>TOTAL</t>
  </si>
  <si>
    <t>Revenues</t>
  </si>
  <si>
    <t>Years</t>
  </si>
  <si>
    <t>Products</t>
  </si>
  <si>
    <t>Other</t>
  </si>
  <si>
    <t>Costs</t>
  </si>
  <si>
    <t>Total Costs</t>
  </si>
  <si>
    <t>Total revenues</t>
  </si>
  <si>
    <t>Implementors - Basic</t>
  </si>
  <si>
    <t>Gov - Basic</t>
  </si>
  <si>
    <t>Low Income Countries</t>
  </si>
  <si>
    <t>Customer segment</t>
  </si>
  <si>
    <t>Hospitals Network</t>
  </si>
  <si>
    <t>Clinics Network</t>
  </si>
  <si>
    <t>Pharma Manufacturer</t>
  </si>
  <si>
    <t>Pharma Supplier/ Retailer</t>
  </si>
  <si>
    <t>Diagnostics Lab</t>
  </si>
  <si>
    <t>Medical Device/ Tech Supplier</t>
  </si>
  <si>
    <t>Middle Income Countries</t>
  </si>
  <si>
    <t>Private Health Customer Segments</t>
  </si>
  <si>
    <t>Pricing Tiers for Public Health</t>
  </si>
  <si>
    <t>Features / product bundles</t>
  </si>
  <si>
    <t>Implementors</t>
  </si>
  <si>
    <t>Gov</t>
  </si>
  <si>
    <t>Basic</t>
  </si>
  <si>
    <t>Basic + added features</t>
  </si>
  <si>
    <t>25% increase in price due to added features</t>
  </si>
  <si>
    <t>Total Paying Customers in Public Health</t>
  </si>
  <si>
    <t>NET</t>
  </si>
  <si>
    <t>New Customers</t>
  </si>
  <si>
    <t>Public health customers</t>
  </si>
  <si>
    <t>Private health customers</t>
  </si>
  <si>
    <t>Total Private and Public Health Customers</t>
  </si>
  <si>
    <t>Break-even calc</t>
  </si>
  <si>
    <t>Break-even years</t>
  </si>
  <si>
    <t>CONFERENCES</t>
  </si>
  <si>
    <t>Conferences</t>
  </si>
  <si>
    <t>growth rate</t>
  </si>
  <si>
    <t># of times per year</t>
  </si>
  <si>
    <t>Ticket fee per person</t>
  </si>
  <si>
    <t>Sponsorship</t>
  </si>
  <si>
    <t># of attendees</t>
  </si>
  <si>
    <t># of sponsors</t>
  </si>
  <si>
    <t>Revenues from attendance</t>
  </si>
  <si>
    <t>Revenues from sponsorship</t>
  </si>
  <si>
    <t>Conference expenses</t>
  </si>
  <si>
    <t>Cost per person</t>
  </si>
  <si>
    <t>Total cost</t>
  </si>
  <si>
    <t>Speakers</t>
  </si>
  <si>
    <t>Catering</t>
  </si>
  <si>
    <t>Venue</t>
  </si>
  <si>
    <t>AV</t>
  </si>
  <si>
    <t xml:space="preserve">Photography </t>
  </si>
  <si>
    <t>Total costs</t>
  </si>
  <si>
    <t>Total profits</t>
  </si>
  <si>
    <t>ADVERTISEMENTS</t>
  </si>
  <si>
    <t>growth</t>
  </si>
  <si>
    <t>Revenues per ad</t>
  </si>
  <si>
    <t>Expenses per ad</t>
  </si>
  <si>
    <t>% margin (implied)</t>
  </si>
  <si>
    <t>TRAINING / CERTIFICATION / CONSULTING CONTRACTS</t>
  </si>
  <si>
    <t>Training / certification</t>
  </si>
  <si>
    <t>Revenue per certification</t>
  </si>
  <si>
    <t>Consulting contracts</t>
  </si>
  <si>
    <t>Revenue per contract</t>
  </si>
  <si>
    <t>Certification revenues</t>
  </si>
  <si>
    <t>Consulting revenues</t>
  </si>
  <si>
    <t>Cost of certification per unit</t>
  </si>
  <si>
    <t>assuming $100 / hr cost for 8 hours</t>
  </si>
  <si>
    <t>Cost of consulting per contract</t>
  </si>
  <si>
    <t>assuming $100 / hr cost for 10 days</t>
  </si>
  <si>
    <t>Type of partner</t>
  </si>
  <si>
    <t>Independent Software Vendor (ISV)</t>
  </si>
  <si>
    <t>Value-Added Reseller (VAR)</t>
  </si>
  <si>
    <t xml:space="preserve">Reseller / Broker </t>
  </si>
  <si>
    <t>Total # of partners</t>
  </si>
  <si>
    <t>% margin by partner</t>
  </si>
  <si>
    <t>Private health -- low income countries</t>
  </si>
  <si>
    <t>Private health -- middle income countries</t>
  </si>
  <si>
    <t>Public health -- low income countries</t>
  </si>
  <si>
    <t>Current non-paying customers</t>
  </si>
  <si>
    <t>Conversion from non-paying customers</t>
  </si>
  <si>
    <t>New paying customers</t>
  </si>
  <si>
    <t># of new customers</t>
  </si>
  <si>
    <t># of customers (cumulative)</t>
  </si>
  <si>
    <t>Year 1 Customers</t>
  </si>
  <si>
    <t>Year 2 Customers</t>
  </si>
  <si>
    <t>Year 3 Customers</t>
  </si>
  <si>
    <t>Year 4 Customers</t>
  </si>
  <si>
    <t>Year 5 Customers</t>
  </si>
  <si>
    <t>Year 6 Customers</t>
  </si>
  <si>
    <t>Year 7 Customers</t>
  </si>
  <si>
    <t>Year 8 Customers</t>
  </si>
  <si>
    <t>Year 9 Customers</t>
  </si>
  <si>
    <t>Year 10 Customers</t>
  </si>
  <si>
    <t>Year -1 Customers</t>
  </si>
  <si>
    <t>Year -2 Customers</t>
  </si>
  <si>
    <t>assumes we convert 8 of the 10 implementations within 5 years</t>
  </si>
  <si>
    <t>assumes growth rate of 1 country per year based on past track record</t>
  </si>
  <si>
    <t>Implementors - Basic (assuming new customers paying this amount for first 2 years)</t>
  </si>
  <si>
    <t>Gov - Basic (assuming customers paying this amount after the first 2 years)</t>
  </si>
  <si>
    <t>Low</t>
  </si>
  <si>
    <t>Medium</t>
  </si>
  <si>
    <t>High</t>
  </si>
  <si>
    <t>New Countries Table</t>
  </si>
  <si>
    <t>Total new countries</t>
  </si>
  <si>
    <t>Cumulative Low Income Countries</t>
  </si>
  <si>
    <t>Cumulative Middle Income Countries</t>
  </si>
  <si>
    <t>Cumulative</t>
  </si>
  <si>
    <t>Assume that there will be re-evaluation every 3 years regarding growth strategy</t>
  </si>
  <si>
    <t>New Customer Segments Table</t>
  </si>
  <si>
    <t>Industry</t>
  </si>
  <si>
    <t>Facilities category</t>
  </si>
  <si>
    <t>OpenLMIS Customers (start year)</t>
  </si>
  <si>
    <t>Customer Growth Rate (net of attrition)</t>
  </si>
  <si>
    <t>OpenLMIS share</t>
  </si>
  <si>
    <t>Health</t>
  </si>
  <si>
    <t>New Customer Segments - Pricing Tier Breakdown - Revenue Table</t>
  </si>
  <si>
    <t>Hospitals network</t>
  </si>
  <si>
    <t>&lt;$1MM</t>
  </si>
  <si>
    <t>$1MM to $5MM</t>
  </si>
  <si>
    <t>$6MM to $25MM</t>
  </si>
  <si>
    <t>Basic + customer support</t>
  </si>
  <si>
    <t>Pricing Tiers for Private Health</t>
  </si>
  <si>
    <t>Org annual revenue</t>
  </si>
  <si>
    <t>&lt;500 users</t>
  </si>
  <si>
    <t>501 to 3,000 users</t>
  </si>
  <si>
    <t>3,000+ users</t>
  </si>
  <si>
    <t>Advanced bundle 1</t>
  </si>
  <si>
    <t>TBD</t>
  </si>
  <si>
    <t>Advanced bundle 2</t>
  </si>
  <si>
    <t>Advanced bundle 3</t>
  </si>
  <si>
    <t>% Customer Segment Breakdown</t>
  </si>
  <si>
    <t>Total Private Facilities</t>
  </si>
  <si>
    <t># of facilities per customer</t>
  </si>
  <si>
    <t># of customers</t>
  </si>
  <si>
    <t>Legal (Business set up costs)</t>
  </si>
  <si>
    <t>Overhead (accounting, legal, office space, etc.)</t>
  </si>
  <si>
    <t>https://www.webstrategiesinc.com/blog/how-much-budget-for-online-marketing-in-2014</t>
  </si>
  <si>
    <t>Marketing budget ranges from 4-10%</t>
  </si>
  <si>
    <t xml:space="preserve">The industry norm for software maintenance is about 15 to 20 percent of the original development costs. </t>
  </si>
  <si>
    <t>https://www.koszek.com/blog/2017/02/28/whats-the-most-expensive-stage-of-software-engineering/</t>
  </si>
  <si>
    <t>Supply Chain Management Software Buyer Report – 2015</t>
  </si>
  <si>
    <t>Prospective Buyers’ Average Software Budget, by Annual Revenue</t>
  </si>
  <si>
    <t>https://www.softwareadvice.com/resources/scm-buyer-report-2015/</t>
  </si>
  <si>
    <t>https://dzone.com/articles/how-much-amp-how-long-does-it-take-to-build-custom</t>
  </si>
  <si>
    <t>https://www.betterbuys.com/erp/erp-pricing-guide/</t>
  </si>
  <si>
    <t>OpenMRS Conference Pricing</t>
  </si>
  <si>
    <t>https://wiki.openmrs.org/display/RES/2018+Implementers+Conference</t>
  </si>
  <si>
    <t>REGISTRATIONS</t>
  </si>
  <si>
    <t>The conference registration packages are as follows:-</t>
  </si>
  <si>
    <t>Early Bird</t>
  </si>
  <si>
    <t>USD $350</t>
  </si>
  <si>
    <t xml:space="preserve">Regular </t>
  </si>
  <si>
    <t>USD $400</t>
  </si>
  <si>
    <t>Late &amp; On-Site</t>
  </si>
  <si>
    <t>USD $450</t>
  </si>
  <si>
    <t xml:space="preserve">Sponsorship packages begin at $5,000.00 USD and can be customized based on the goals and available budget of the sponsoring organization. </t>
  </si>
  <si>
    <t>Sponsorship packages can include the following:</t>
  </si>
  <si>
    <t xml:space="preserve">Complimentary conference registrations </t>
  </si>
  <si>
    <t xml:space="preserve">Sponsor ribbon </t>
  </si>
  <si>
    <t xml:space="preserve">Prominent sign recognition in conference registration area </t>
  </si>
  <si>
    <t>Name or logo on screen before plenary sessions</t>
  </si>
  <si>
    <t xml:space="preserve">Named sponsor for lightning talk or cultural entertainment event </t>
  </si>
  <si>
    <t>Named sponsor for coffee and tea breaks</t>
  </si>
  <si>
    <t>Recognition during keynote talks</t>
  </si>
  <si>
    <t xml:space="preserve">Organization listed on "conference sponsor" section on website including logo and </t>
  </si>
  <si>
    <t xml:space="preserve">website link </t>
  </si>
  <si>
    <t>Logo on conference t-shirt or lanyard</t>
  </si>
  <si>
    <t>Conference Costs</t>
  </si>
  <si>
    <t>https://cmalive.co.uk/how-much-does-it-cost-to-run-a-conference/</t>
  </si>
  <si>
    <t>https://www.rhsmith.umd.edu/files/Documents/Offices/OSPE/ConferenceBudgetEstimates.pdf</t>
  </si>
  <si>
    <t>people</t>
  </si>
  <si>
    <t>total cost</t>
  </si>
  <si>
    <t>cost per person</t>
  </si>
  <si>
    <t>Advertising Costs</t>
  </si>
  <si>
    <t>https://www.topdraw.com/blog/is-online-advertising-expensive/</t>
  </si>
  <si>
    <t>currently not being used</t>
  </si>
  <si>
    <t>Break-even years (post seed-stage)</t>
  </si>
  <si>
    <t>Finance (impact investor outreach)</t>
  </si>
  <si>
    <t>Yellow cells are inputs and any changes to these cells will be reflected throughout the worksheet</t>
  </si>
  <si>
    <t>Please copy and paste any updates from the "CostCalculation_vF" file for the highlighted cells in rows D and E</t>
  </si>
  <si>
    <t>Low income countries</t>
  </si>
  <si>
    <t>Middle income countries</t>
  </si>
  <si>
    <t>Seed funding</t>
  </si>
  <si>
    <t>Impact Investment</t>
  </si>
  <si>
    <t>% Breakdown</t>
  </si>
  <si>
    <t xml:space="preserve">growth </t>
  </si>
  <si>
    <t>CHANNEL PARTNER REVENUE FRAMEWORK (FOR PRIVATE HEALTH CUSTOMERS)</t>
  </si>
  <si>
    <t>Total Private Health Revenues</t>
  </si>
  <si>
    <t>Grey cells mean that they are options not currently being used</t>
  </si>
  <si>
    <t>These cells represent the "seed stage" funding years</t>
  </si>
  <si>
    <t>CELL COLORS LEGEND</t>
  </si>
  <si>
    <t>TAB COLORS LEGEND</t>
  </si>
  <si>
    <t>% breakdown of costs over time</t>
  </si>
  <si>
    <t>Cost multiplier over time</t>
  </si>
  <si>
    <t>Seed stage years</t>
  </si>
  <si>
    <t>Notes</t>
  </si>
  <si>
    <t>Assume there are scaling efficiencies and costs come down by 5% over the 10 year period</t>
  </si>
  <si>
    <t xml:space="preserve">Assume there are scaling efficiencies and costs come down by 10% over the 10 year period </t>
  </si>
  <si>
    <t>Business start up costs only exist in first 2 years</t>
  </si>
  <si>
    <t>Impact investor outreach costs only exist in first 2 years</t>
  </si>
  <si>
    <t>Sales costs will increase as number of customers increase</t>
  </si>
  <si>
    <t>Marketing and community mgt costs will increase as number of customers increase</t>
  </si>
  <si>
    <t>Returns</t>
  </si>
  <si>
    <t>Public Health Pricing</t>
  </si>
  <si>
    <t>Misc</t>
  </si>
  <si>
    <t>Channel Partners</t>
  </si>
  <si>
    <t>Revenue Streams</t>
  </si>
  <si>
    <t>Customers</t>
  </si>
  <si>
    <t>Private Health Pricing</t>
  </si>
  <si>
    <t>This tab mainly includes outputs from other tabs (Costs, Revenues, Break-even, etc.)</t>
  </si>
  <si>
    <t>Product costs</t>
  </si>
  <si>
    <t>Sales, Marketing, Community Mgt Costs</t>
  </si>
  <si>
    <t>This tab looks into details of the public health customers and includes assumptions on the number of new paying customers we acquire, how many we convert from current non-paying customers, and pricing tiers</t>
  </si>
  <si>
    <t>This tab looks into details of the private health customer segments by low income and middle income countries and also includes breakdowns by pricing tiers</t>
  </si>
  <si>
    <t>This tab mainly includes outputs from the public and private health pricing tabs and includes total customers and corresponding charts</t>
  </si>
  <si>
    <t>This tab contains the supplemental revenue streams such as conferences, training, etc.</t>
  </si>
  <si>
    <t>This tab breaks down the revenues from private health customers into two categories: (1) direct sales (2) indirect channel partner sales</t>
  </si>
  <si>
    <t>This tab includes additional information on assumptions</t>
  </si>
  <si>
    <t>assumes 2 of the current implantations will never become paying customers</t>
  </si>
  <si>
    <t>assuming all public health customers are in low income countries</t>
  </si>
  <si>
    <t>Print, design, website, marketing and misc.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</si>
</sst>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&quot;$&quot;* #,##0_);_(&quot;$&quot;* \(#,##0\);_(&quot;$&quot;* &quot;-&quot;?_);_(@_)"/>
    <numFmt numFmtId="169" formatCode="_(&quot;$&quot;* #,##0.0_);_(&quot;$&quot;* \(#,##0.0\);_(&quot;$&quot;* &quot;-&quot;?_);_(@_)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2"/>
      <color rgb="FFFFFFFF"/>
      <name val="Calibri"/>
      <family val="2"/>
      <scheme val="minor"/>
    </font>
    <font>
      <i/>
      <sz val="12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rgb="FF000000"/>
      <name val="Calibri"/>
      <family val="2"/>
    </font>
    <font>
      <b/>
      <sz val="14"/>
      <color theme="4"/>
      <name val="Calibri"/>
      <family val="2"/>
      <scheme val="minor"/>
    </font>
    <font>
      <b/>
      <sz val="14"/>
      <color theme="1"/>
      <name val="Calibri"/>
      <family val="2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4546A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71">
    <xf numFmtId="0" fontId="0" fillId="0" borderId="0" xfId="0"/>
    <xf numFmtId="164" fontId="0" fillId="0" borderId="0" xfId="2" applyNumberFormat="1" applyFont="1"/>
    <xf numFmtId="0" fontId="0" fillId="0" borderId="1" xfId="0" applyBorder="1"/>
    <xf numFmtId="164" fontId="0" fillId="0" borderId="0" xfId="0" applyNumberFormat="1"/>
    <xf numFmtId="0" fontId="4" fillId="0" borderId="0" xfId="0" applyFont="1"/>
    <xf numFmtId="164" fontId="4" fillId="0" borderId="0" xfId="2" applyNumberFormat="1" applyFont="1"/>
    <xf numFmtId="9" fontId="4" fillId="0" borderId="0" xfId="3" applyFont="1"/>
    <xf numFmtId="9" fontId="4" fillId="0" borderId="0" xfId="0" applyNumberFormat="1" applyFont="1"/>
    <xf numFmtId="0" fontId="5" fillId="0" borderId="0" xfId="0" applyFont="1"/>
    <xf numFmtId="0" fontId="2" fillId="5" borderId="2" xfId="0" applyFont="1" applyFill="1" applyBorder="1"/>
    <xf numFmtId="0" fontId="2" fillId="5" borderId="0" xfId="0" applyFont="1" applyFill="1"/>
    <xf numFmtId="43" fontId="0" fillId="0" borderId="0" xfId="1" applyFont="1"/>
    <xf numFmtId="165" fontId="0" fillId="0" borderId="0" xfId="1" applyNumberFormat="1" applyFont="1"/>
    <xf numFmtId="166" fontId="0" fillId="0" borderId="0" xfId="1" applyNumberFormat="1" applyFont="1"/>
    <xf numFmtId="0" fontId="6" fillId="0" borderId="0" xfId="0" applyFont="1"/>
    <xf numFmtId="0" fontId="7" fillId="0" borderId="0" xfId="0" applyFont="1"/>
    <xf numFmtId="0" fontId="8" fillId="6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166" fontId="4" fillId="0" borderId="2" xfId="1" applyNumberFormat="1" applyFont="1" applyBorder="1"/>
    <xf numFmtId="0" fontId="4" fillId="0" borderId="2" xfId="0" applyFont="1" applyBorder="1"/>
    <xf numFmtId="0" fontId="8" fillId="7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66" fontId="0" fillId="0" borderId="2" xfId="1" applyNumberFormat="1" applyFont="1" applyBorder="1"/>
    <xf numFmtId="166" fontId="0" fillId="0" borderId="0" xfId="0" applyNumberFormat="1"/>
    <xf numFmtId="0" fontId="10" fillId="0" borderId="0" xfId="0" applyFont="1" applyAlignment="1">
      <alignment wrapText="1"/>
    </xf>
    <xf numFmtId="0" fontId="11" fillId="5" borderId="0" xfId="0" applyFont="1" applyFill="1" applyAlignment="1">
      <alignment horizontal="left" vertical="center" wrapText="1" readingOrder="1"/>
    </xf>
    <xf numFmtId="0" fontId="2" fillId="5" borderId="0" xfId="0" applyFont="1" applyFill="1" applyAlignment="1">
      <alignment horizontal="center"/>
    </xf>
    <xf numFmtId="164" fontId="0" fillId="8" borderId="2" xfId="0" applyNumberFormat="1" applyFill="1" applyBorder="1" applyAlignment="1">
      <alignment wrapText="1"/>
    </xf>
    <xf numFmtId="9" fontId="0" fillId="8" borderId="0" xfId="0" applyNumberFormat="1" applyFill="1" applyAlignment="1">
      <alignment wrapText="1"/>
    </xf>
    <xf numFmtId="164" fontId="10" fillId="0" borderId="0" xfId="0" applyNumberFormat="1" applyFont="1" applyAlignment="1">
      <alignment wrapText="1"/>
    </xf>
    <xf numFmtId="166" fontId="0" fillId="0" borderId="2" xfId="0" applyNumberFormat="1" applyBorder="1"/>
    <xf numFmtId="0" fontId="12" fillId="0" borderId="0" xfId="0" applyFont="1"/>
    <xf numFmtId="164" fontId="4" fillId="0" borderId="2" xfId="0" applyNumberFormat="1" applyFont="1" applyBorder="1"/>
    <xf numFmtId="9" fontId="0" fillId="0" borderId="0" xfId="0" applyNumberFormat="1"/>
    <xf numFmtId="0" fontId="3" fillId="0" borderId="0" xfId="0" applyFont="1"/>
    <xf numFmtId="0" fontId="0" fillId="0" borderId="0" xfId="0" applyFont="1"/>
    <xf numFmtId="0" fontId="3" fillId="0" borderId="3" xfId="0" applyFont="1" applyBorder="1"/>
    <xf numFmtId="0" fontId="3" fillId="0" borderId="4" xfId="0" applyFont="1" applyBorder="1"/>
    <xf numFmtId="0" fontId="0" fillId="0" borderId="0" xfId="0" applyBorder="1"/>
    <xf numFmtId="166" fontId="0" fillId="0" borderId="0" xfId="1" applyNumberFormat="1" applyFont="1" applyBorder="1"/>
    <xf numFmtId="0" fontId="0" fillId="0" borderId="2" xfId="0" applyFill="1" applyBorder="1"/>
    <xf numFmtId="0" fontId="3" fillId="0" borderId="2" xfId="0" applyFont="1" applyFill="1" applyBorder="1"/>
    <xf numFmtId="166" fontId="3" fillId="0" borderId="2" xfId="0" applyNumberFormat="1" applyFont="1" applyBorder="1"/>
    <xf numFmtId="0" fontId="13" fillId="0" borderId="0" xfId="0" applyFont="1"/>
    <xf numFmtId="0" fontId="14" fillId="0" borderId="0" xfId="0" applyFont="1"/>
    <xf numFmtId="164" fontId="0" fillId="0" borderId="2" xfId="2" applyNumberFormat="1" applyFont="1" applyBorder="1"/>
    <xf numFmtId="0" fontId="3" fillId="0" borderId="2" xfId="0" applyFont="1" applyBorder="1"/>
    <xf numFmtId="164" fontId="3" fillId="0" borderId="2" xfId="2" applyNumberFormat="1" applyFont="1" applyBorder="1"/>
    <xf numFmtId="165" fontId="3" fillId="0" borderId="5" xfId="0" applyNumberFormat="1" applyFont="1" applyBorder="1"/>
    <xf numFmtId="0" fontId="9" fillId="0" borderId="6" xfId="0" applyFont="1" applyBorder="1"/>
    <xf numFmtId="164" fontId="9" fillId="0" borderId="6" xfId="0" applyNumberFormat="1" applyFont="1" applyBorder="1"/>
    <xf numFmtId="0" fontId="3" fillId="0" borderId="6" xfId="0" applyFont="1" applyBorder="1"/>
    <xf numFmtId="0" fontId="15" fillId="0" borderId="0" xfId="0" applyFont="1"/>
    <xf numFmtId="0" fontId="0" fillId="0" borderId="7" xfId="0" applyBorder="1"/>
    <xf numFmtId="0" fontId="0" fillId="0" borderId="8" xfId="0" applyBorder="1"/>
    <xf numFmtId="167" fontId="0" fillId="0" borderId="8" xfId="0" applyNumberFormat="1" applyBorder="1"/>
    <xf numFmtId="0" fontId="0" fillId="8" borderId="2" xfId="0" applyFill="1" applyBorder="1"/>
    <xf numFmtId="9" fontId="0" fillId="8" borderId="2" xfId="0" applyNumberFormat="1" applyFill="1" applyBorder="1"/>
    <xf numFmtId="164" fontId="0" fillId="8" borderId="2" xfId="2" applyNumberFormat="1" applyFont="1" applyFill="1" applyBorder="1"/>
    <xf numFmtId="1" fontId="0" fillId="0" borderId="2" xfId="0" applyNumberFormat="1" applyBorder="1"/>
    <xf numFmtId="164" fontId="0" fillId="0" borderId="2" xfId="0" applyNumberFormat="1" applyBorder="1"/>
    <xf numFmtId="164" fontId="3" fillId="0" borderId="2" xfId="0" applyNumberFormat="1" applyFont="1" applyBorder="1"/>
    <xf numFmtId="6" fontId="0" fillId="8" borderId="2" xfId="0" applyNumberFormat="1" applyFill="1" applyBorder="1"/>
    <xf numFmtId="6" fontId="0" fillId="0" borderId="2" xfId="0" applyNumberFormat="1" applyBorder="1"/>
    <xf numFmtId="6" fontId="3" fillId="0" borderId="2" xfId="0" applyNumberFormat="1" applyFont="1" applyBorder="1"/>
    <xf numFmtId="167" fontId="0" fillId="0" borderId="2" xfId="0" applyNumberFormat="1" applyBorder="1"/>
    <xf numFmtId="168" fontId="0" fillId="0" borderId="2" xfId="0" applyNumberFormat="1" applyBorder="1"/>
    <xf numFmtId="167" fontId="0" fillId="0" borderId="7" xfId="0" applyNumberFormat="1" applyBorder="1"/>
    <xf numFmtId="168" fontId="0" fillId="0" borderId="7" xfId="0" applyNumberFormat="1" applyBorder="1"/>
    <xf numFmtId="164" fontId="0" fillId="0" borderId="8" xfId="2" applyNumberFormat="1" applyFont="1" applyBorder="1"/>
    <xf numFmtId="9" fontId="3" fillId="0" borderId="2" xfId="0" applyNumberFormat="1" applyFont="1" applyBorder="1"/>
    <xf numFmtId="0" fontId="0" fillId="0" borderId="9" xfId="0" applyBorder="1"/>
    <xf numFmtId="9" fontId="0" fillId="8" borderId="9" xfId="0" applyNumberFormat="1" applyFill="1" applyBorder="1"/>
    <xf numFmtId="164" fontId="0" fillId="0" borderId="9" xfId="0" applyNumberFormat="1" applyBorder="1"/>
    <xf numFmtId="9" fontId="0" fillId="0" borderId="2" xfId="3" applyFont="1" applyBorder="1"/>
    <xf numFmtId="0" fontId="10" fillId="0" borderId="0" xfId="0" applyFont="1"/>
    <xf numFmtId="169" fontId="0" fillId="0" borderId="0" xfId="0" applyNumberFormat="1"/>
    <xf numFmtId="44" fontId="0" fillId="0" borderId="0" xfId="0" applyNumberFormat="1"/>
    <xf numFmtId="0" fontId="4" fillId="8" borderId="2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4" fillId="0" borderId="2" xfId="0" applyFont="1" applyFill="1" applyBorder="1"/>
    <xf numFmtId="0" fontId="16" fillId="0" borderId="0" xfId="0" applyFont="1"/>
    <xf numFmtId="164" fontId="0" fillId="3" borderId="2" xfId="0" applyNumberFormat="1" applyFill="1" applyBorder="1" applyAlignment="1">
      <alignment wrapText="1"/>
    </xf>
    <xf numFmtId="43" fontId="0" fillId="0" borderId="0" xfId="0" applyNumberFormat="1"/>
    <xf numFmtId="0" fontId="2" fillId="5" borderId="2" xfId="0" applyFont="1" applyFill="1" applyBorder="1" applyAlignment="1">
      <alignment wrapText="1"/>
    </xf>
    <xf numFmtId="9" fontId="0" fillId="8" borderId="2" xfId="3" applyFont="1" applyFill="1" applyBorder="1"/>
    <xf numFmtId="166" fontId="0" fillId="8" borderId="2" xfId="1" applyNumberFormat="1" applyFont="1" applyFill="1" applyBorder="1"/>
    <xf numFmtId="1" fontId="0" fillId="0" borderId="0" xfId="0" applyNumberFormat="1"/>
    <xf numFmtId="0" fontId="0" fillId="0" borderId="10" xfId="0" applyBorder="1" applyAlignment="1">
      <alignment wrapText="1"/>
    </xf>
    <xf numFmtId="166" fontId="0" fillId="0" borderId="11" xfId="0" applyNumberFormat="1" applyBorder="1" applyAlignment="1">
      <alignment wrapText="1"/>
    </xf>
    <xf numFmtId="0" fontId="0" fillId="0" borderId="11" xfId="0" applyBorder="1" applyAlignment="1">
      <alignment wrapText="1"/>
    </xf>
    <xf numFmtId="9" fontId="0" fillId="0" borderId="11" xfId="3" applyFont="1" applyBorder="1" applyAlignment="1">
      <alignment wrapText="1"/>
    </xf>
    <xf numFmtId="164" fontId="0" fillId="0" borderId="11" xfId="0" applyNumberFormat="1" applyBorder="1" applyAlignment="1">
      <alignment wrapText="1"/>
    </xf>
    <xf numFmtId="0" fontId="0" fillId="0" borderId="12" xfId="0" applyBorder="1" applyAlignment="1">
      <alignment wrapText="1"/>
    </xf>
    <xf numFmtId="166" fontId="0" fillId="0" borderId="2" xfId="0" applyNumberFormat="1" applyBorder="1" applyAlignment="1">
      <alignment wrapText="1"/>
    </xf>
    <xf numFmtId="9" fontId="0" fillId="0" borderId="2" xfId="3" applyFont="1" applyBorder="1" applyAlignment="1">
      <alignment wrapText="1"/>
    </xf>
    <xf numFmtId="164" fontId="0" fillId="0" borderId="2" xfId="0" applyNumberForma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9" fontId="0" fillId="0" borderId="14" xfId="3" applyFont="1" applyBorder="1" applyAlignment="1">
      <alignment wrapText="1"/>
    </xf>
    <xf numFmtId="164" fontId="0" fillId="0" borderId="14" xfId="0" applyNumberForma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9" xfId="0" applyBorder="1" applyAlignment="1">
      <alignment wrapText="1"/>
    </xf>
    <xf numFmtId="9" fontId="0" fillId="0" borderId="9" xfId="3" applyFont="1" applyBorder="1" applyAlignment="1">
      <alignment wrapText="1"/>
    </xf>
    <xf numFmtId="164" fontId="0" fillId="0" borderId="9" xfId="0" applyNumberFormat="1" applyBorder="1" applyAlignment="1">
      <alignment wrapText="1"/>
    </xf>
    <xf numFmtId="164" fontId="0" fillId="0" borderId="16" xfId="2" applyNumberFormat="1" applyFont="1" applyBorder="1"/>
    <xf numFmtId="0" fontId="0" fillId="0" borderId="10" xfId="0" applyBorder="1"/>
    <xf numFmtId="0" fontId="0" fillId="0" borderId="17" xfId="0" applyBorder="1"/>
    <xf numFmtId="166" fontId="0" fillId="0" borderId="8" xfId="0" applyNumberFormat="1" applyBorder="1" applyAlignment="1">
      <alignment wrapText="1"/>
    </xf>
    <xf numFmtId="0" fontId="0" fillId="0" borderId="8" xfId="0" applyBorder="1" applyAlignment="1">
      <alignment wrapText="1"/>
    </xf>
    <xf numFmtId="9" fontId="0" fillId="0" borderId="8" xfId="3" applyFont="1" applyBorder="1" applyAlignment="1">
      <alignment wrapText="1"/>
    </xf>
    <xf numFmtId="164" fontId="0" fillId="0" borderId="8" xfId="0" applyNumberFormat="1" applyBorder="1" applyAlignment="1">
      <alignment wrapText="1"/>
    </xf>
    <xf numFmtId="0" fontId="3" fillId="0" borderId="0" xfId="0" applyFont="1" applyAlignment="1">
      <alignment wrapText="1"/>
    </xf>
    <xf numFmtId="9" fontId="3" fillId="0" borderId="0" xfId="3" applyFont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0" xfId="0" applyNumberFormat="1" applyFont="1"/>
    <xf numFmtId="9" fontId="0" fillId="0" borderId="0" xfId="3" applyFont="1" applyAlignment="1">
      <alignment wrapText="1"/>
    </xf>
    <xf numFmtId="164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0" fontId="19" fillId="5" borderId="0" xfId="0" applyFont="1" applyFill="1" applyAlignment="1">
      <alignment horizontal="left" vertical="center" wrapText="1" readingOrder="1"/>
    </xf>
    <xf numFmtId="0" fontId="19" fillId="5" borderId="0" xfId="0" applyFont="1" applyFill="1" applyAlignment="1">
      <alignment horizontal="center" vertical="center" wrapText="1" readingOrder="1"/>
    </xf>
    <xf numFmtId="164" fontId="20" fillId="8" borderId="0" xfId="2" applyNumberFormat="1" applyFont="1" applyFill="1" applyAlignment="1">
      <alignment horizontal="right" vertical="top" readingOrder="1"/>
    </xf>
    <xf numFmtId="164" fontId="20" fillId="8" borderId="0" xfId="2" applyNumberFormat="1" applyFont="1" applyFill="1" applyAlignment="1">
      <alignment horizontal="right" vertical="center" wrapText="1" readingOrder="1"/>
    </xf>
    <xf numFmtId="0" fontId="20" fillId="3" borderId="0" xfId="0" applyFont="1" applyFill="1" applyAlignment="1">
      <alignment horizontal="right" vertical="center" wrapText="1" readingOrder="1"/>
    </xf>
    <xf numFmtId="9" fontId="20" fillId="8" borderId="0" xfId="3" applyFont="1" applyFill="1" applyAlignment="1">
      <alignment horizontal="right" vertical="center" wrapText="1" readingOrder="1"/>
    </xf>
    <xf numFmtId="0" fontId="21" fillId="0" borderId="0" xfId="0" applyFont="1"/>
    <xf numFmtId="10" fontId="0" fillId="0" borderId="2" xfId="3" applyNumberFormat="1" applyFont="1" applyBorder="1"/>
    <xf numFmtId="0" fontId="22" fillId="0" borderId="0" xfId="4"/>
    <xf numFmtId="164" fontId="6" fillId="0" borderId="0" xfId="2" applyNumberFormat="1" applyFont="1"/>
    <xf numFmtId="8" fontId="0" fillId="0" borderId="0" xfId="0" applyNumberFormat="1"/>
    <xf numFmtId="0" fontId="9" fillId="0" borderId="2" xfId="0" applyFont="1" applyBorder="1"/>
    <xf numFmtId="164" fontId="9" fillId="0" borderId="2" xfId="2" applyNumberFormat="1" applyFont="1" applyBorder="1"/>
    <xf numFmtId="0" fontId="0" fillId="0" borderId="0" xfId="0" applyFill="1"/>
    <xf numFmtId="0" fontId="0" fillId="0" borderId="0" xfId="0" applyFont="1" applyFill="1" applyBorder="1"/>
    <xf numFmtId="164" fontId="3" fillId="0" borderId="6" xfId="2" applyNumberFormat="1" applyFont="1" applyBorder="1"/>
    <xf numFmtId="164" fontId="3" fillId="0" borderId="4" xfId="2" applyNumberFormat="1" applyFont="1" applyBorder="1"/>
    <xf numFmtId="164" fontId="3" fillId="0" borderId="5" xfId="2" applyNumberFormat="1" applyFont="1" applyBorder="1"/>
    <xf numFmtId="0" fontId="0" fillId="10" borderId="0" xfId="0" applyFill="1"/>
    <xf numFmtId="0" fontId="0" fillId="11" borderId="0" xfId="0" applyFill="1"/>
    <xf numFmtId="0" fontId="0" fillId="4" borderId="0" xfId="0" applyFill="1"/>
    <xf numFmtId="0" fontId="0" fillId="8" borderId="0" xfId="0" applyFill="1"/>
    <xf numFmtId="0" fontId="0" fillId="13" borderId="0" xfId="0" applyFill="1"/>
    <xf numFmtId="0" fontId="5" fillId="0" borderId="0" xfId="0" applyFont="1" applyFill="1" applyBorder="1" applyAlignment="1"/>
    <xf numFmtId="0" fontId="3" fillId="0" borderId="7" xfId="0" applyFont="1" applyBorder="1"/>
    <xf numFmtId="167" fontId="0" fillId="8" borderId="2" xfId="0" applyNumberFormat="1" applyFill="1" applyBorder="1"/>
    <xf numFmtId="0" fontId="0" fillId="0" borderId="0" xfId="0" applyFill="1" applyBorder="1"/>
    <xf numFmtId="10" fontId="0" fillId="0" borderId="0" xfId="3" applyNumberFormat="1" applyFont="1" applyBorder="1"/>
    <xf numFmtId="9" fontId="0" fillId="0" borderId="2" xfId="0" applyNumberFormat="1" applyFill="1" applyBorder="1"/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167" fontId="0" fillId="8" borderId="8" xfId="0" applyNumberFormat="1" applyFill="1" applyBorder="1"/>
    <xf numFmtId="9" fontId="0" fillId="0" borderId="2" xfId="0" applyNumberFormat="1" applyBorder="1"/>
    <xf numFmtId="0" fontId="0" fillId="3" borderId="2" xfId="0" applyFill="1" applyBorder="1"/>
    <xf numFmtId="9" fontId="0" fillId="3" borderId="2" xfId="0" applyNumberFormat="1" applyFill="1" applyBorder="1"/>
    <xf numFmtId="9" fontId="0" fillId="3" borderId="2" xfId="3" applyFont="1" applyFill="1" applyBorder="1"/>
    <xf numFmtId="0" fontId="0" fillId="9" borderId="2" xfId="0" applyFill="1" applyBorder="1"/>
    <xf numFmtId="9" fontId="0" fillId="0" borderId="2" xfId="3" applyFont="1" applyFill="1" applyBorder="1"/>
    <xf numFmtId="0" fontId="3" fillId="5" borderId="2" xfId="0" applyFont="1" applyFill="1" applyBorder="1"/>
    <xf numFmtId="0" fontId="18" fillId="5" borderId="2" xfId="0" applyFont="1" applyFill="1" applyBorder="1"/>
    <xf numFmtId="0" fontId="10" fillId="0" borderId="0" xfId="0" applyFont="1" applyFill="1" applyBorder="1"/>
    <xf numFmtId="0" fontId="17" fillId="0" borderId="0" xfId="0" applyFont="1"/>
    <xf numFmtId="0" fontId="18" fillId="2" borderId="0" xfId="0" applyFont="1" applyFill="1" applyBorder="1"/>
    <xf numFmtId="0" fontId="0" fillId="3" borderId="0" xfId="0" applyFill="1" applyBorder="1"/>
    <xf numFmtId="0" fontId="5" fillId="0" borderId="0" xfId="0" applyFont="1" applyFill="1"/>
    <xf numFmtId="0" fontId="18" fillId="0" borderId="0" xfId="0" applyFont="1" applyFill="1" applyBorder="1"/>
    <xf numFmtId="0" fontId="18" fillId="12" borderId="0" xfId="0" applyFont="1" applyFill="1"/>
    <xf numFmtId="0" fontId="18" fillId="5" borderId="2" xfId="0" applyFont="1" applyFill="1" applyBorder="1" applyAlignment="1">
      <alignment wrapText="1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538748445917943E-2"/>
          <c:y val="0.11310303953941241"/>
          <c:w val="0.93599735926522032"/>
          <c:h val="0.630236462377686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Costs'!$B$23</c:f>
              <c:strCache>
                <c:ptCount val="1"/>
                <c:pt idx="0">
                  <c:v>Private Health Software Development &amp; Maintenance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'Total Costs'!$D$23:$O$23</c:f>
              <c:numCache>
                <c:formatCode>0%</c:formatCode>
                <c:ptCount val="12"/>
                <c:pt idx="0">
                  <c:v>0.409051203991046</c:v>
                </c:pt>
                <c:pt idx="1">
                  <c:v>0.36143050715035585</c:v>
                </c:pt>
                <c:pt idx="2">
                  <c:v>0.4033519188520468</c:v>
                </c:pt>
                <c:pt idx="3">
                  <c:v>0.3991372235801311</c:v>
                </c:pt>
                <c:pt idx="4">
                  <c:v>0.39457591518767621</c:v>
                </c:pt>
                <c:pt idx="5">
                  <c:v>0.38963049515673515</c:v>
                </c:pt>
                <c:pt idx="6">
                  <c:v>0.38425942136005375</c:v>
                </c:pt>
                <c:pt idx="7">
                  <c:v>0.38068039741903953</c:v>
                </c:pt>
                <c:pt idx="8">
                  <c:v>0.3765899327276398</c:v>
                </c:pt>
                <c:pt idx="9">
                  <c:v>0.37193046869049673</c:v>
                </c:pt>
                <c:pt idx="10">
                  <c:v>0.366640315031181</c:v>
                </c:pt>
                <c:pt idx="11">
                  <c:v>0.36065459998703531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4-BD4F-91C3-31DB3C0E24AF}"/>
            </c:ext>
          </c:extLst>
        </c:ser>
        <c:ser>
          <c:idx val="1"/>
          <c:order val="1"/>
          <c:tx>
            <c:strRef>
              <c:f>'Total Costs'!$B$24</c:f>
              <c:strCache>
                <c:ptCount val="1"/>
                <c:pt idx="0">
                  <c:v>Public Health (Modified) Maintenance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'Total Costs'!$D$24:$O$24</c:f>
              <c:numCache>
                <c:formatCode>0%</c:formatCode>
                <c:ptCount val="12"/>
                <c:pt idx="0">
                  <c:v>0.28126269955045452</c:v>
                </c:pt>
                <c:pt idx="1">
                  <c:v>0.31034560153507029</c:v>
                </c:pt>
                <c:pt idx="2">
                  <c:v>0.34634180405360415</c:v>
                </c:pt>
                <c:pt idx="3">
                  <c:v>0.34272281751657241</c:v>
                </c:pt>
                <c:pt idx="4">
                  <c:v>0.33880620846216714</c:v>
                </c:pt>
                <c:pt idx="5">
                  <c:v>0.33455977844593299</c:v>
                </c:pt>
                <c:pt idx="6">
                  <c:v>0.32994785694140183</c:v>
                </c:pt>
                <c:pt idx="7">
                  <c:v>0.32343390912327252</c:v>
                </c:pt>
                <c:pt idx="8">
                  <c:v>0.31655475150983631</c:v>
                </c:pt>
                <c:pt idx="9">
                  <c:v>0.30927638961908765</c:v>
                </c:pt>
                <c:pt idx="10">
                  <c:v>0.30156351161784861</c:v>
                </c:pt>
                <c:pt idx="11">
                  <c:v>0.29338044799482554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4-BD4F-91C3-31DB3C0E24AF}"/>
            </c:ext>
          </c:extLst>
        </c:ser>
        <c:ser>
          <c:idx val="2"/>
          <c:order val="2"/>
          <c:tx>
            <c:strRef>
              <c:f>'Total Costs'!$B$25</c:f>
              <c:strCache>
                <c:ptCount val="1"/>
                <c:pt idx="0">
                  <c:v>Legal (Business set up costs)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'Total Costs'!$D$25:$O$25</c:f>
              <c:numCache>
                <c:formatCode>0%</c:formatCode>
                <c:ptCount val="12"/>
                <c:pt idx="0">
                  <c:v>1.5252585782206864E-2</c:v>
                </c:pt>
                <c:pt idx="1">
                  <c:v>1.6832714578704767E-2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4-BD4F-91C3-31DB3C0E24AF}"/>
            </c:ext>
          </c:extLst>
        </c:ser>
        <c:ser>
          <c:idx val="3"/>
          <c:order val="3"/>
          <c:tx>
            <c:strRef>
              <c:f>'Total Costs'!$B$26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'Total Costs'!$D$26:$O$26</c:f>
              <c:numCache>
                <c:formatCode>0%</c:formatCode>
                <c:ptCount val="12"/>
                <c:pt idx="0">
                  <c:v>8.419577557041806E-3</c:v>
                </c:pt>
                <c:pt idx="1">
                  <c:v>9.290172019921843E-3</c:v>
                </c:pt>
                <c:pt idx="2">
                  <c:v>1.2566928011410603E-2</c:v>
                </c:pt>
                <c:pt idx="3">
                  <c:v>1.5075009583623284E-2</c:v>
                </c:pt>
                <c:pt idx="4">
                  <c:v>1.806764400445518E-2</c:v>
                </c:pt>
                <c:pt idx="5">
                  <c:v>2.1632446585501886E-2</c:v>
                </c:pt>
                <c:pt idx="6">
                  <c:v>2.5870575976949698E-2</c:v>
                </c:pt>
                <c:pt idx="7">
                  <c:v>3.075553835845694E-2</c:v>
                </c:pt>
                <c:pt idx="8">
                  <c:v>3.6510078900640654E-2</c:v>
                </c:pt>
                <c:pt idx="9">
                  <c:v>4.3270017312745795E-2</c:v>
                </c:pt>
                <c:pt idx="10">
                  <c:v>5.1185479376742872E-2</c:v>
                </c:pt>
                <c:pt idx="11">
                  <c:v>6.0419799458858378E-2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E4-BD4F-91C3-31DB3C0E24AF}"/>
            </c:ext>
          </c:extLst>
        </c:ser>
        <c:ser>
          <c:idx val="4"/>
          <c:order val="4"/>
          <c:tx>
            <c:strRef>
              <c:f>'Total Costs'!$B$27</c:f>
              <c:strCache>
                <c:ptCount val="1"/>
                <c:pt idx="0">
                  <c:v>Marketing &amp; Community Management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'Total Costs'!$D$27:$O$27</c:f>
              <c:numCache>
                <c:formatCode>0%</c:formatCode>
                <c:ptCount val="12"/>
                <c:pt idx="0">
                  <c:v>8.5416004201873397E-2</c:v>
                </c:pt>
                <c:pt idx="1">
                  <c:v>9.4248121941236093E-2</c:v>
                </c:pt>
                <c:pt idx="2">
                  <c:v>0.1073045664742427</c:v>
                </c:pt>
                <c:pt idx="3">
                  <c:v>0.1126301667109777</c:v>
                </c:pt>
                <c:pt idx="4">
                  <c:v>0.11811544973700573</c:v>
                </c:pt>
                <c:pt idx="5">
                  <c:v>0.12374249720313429</c:v>
                </c:pt>
                <c:pt idx="6">
                  <c:v>0.12948736311289899</c:v>
                </c:pt>
                <c:pt idx="7">
                  <c:v>0.13469537249053523</c:v>
                </c:pt>
                <c:pt idx="8">
                  <c:v>0.13991045425318757</c:v>
                </c:pt>
                <c:pt idx="9">
                  <c:v>0.14508834176897412</c:v>
                </c:pt>
                <c:pt idx="10">
                  <c:v>0.15017591136553182</c:v>
                </c:pt>
                <c:pt idx="11">
                  <c:v>0.15511036995058514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E4-BD4F-91C3-31DB3C0E24AF}"/>
            </c:ext>
          </c:extLst>
        </c:ser>
        <c:ser>
          <c:idx val="5"/>
          <c:order val="5"/>
          <c:tx>
            <c:strRef>
              <c:f>'Total Costs'!$B$28</c:f>
              <c:strCache>
                <c:ptCount val="1"/>
                <c:pt idx="0">
                  <c:v>Finance (impact investor outreach)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'Total Costs'!$D$28:$O$28</c:f>
              <c:numCache>
                <c:formatCode>0%</c:formatCode>
                <c:ptCount val="12"/>
                <c:pt idx="0">
                  <c:v>7.0163146308681715E-2</c:v>
                </c:pt>
                <c:pt idx="1">
                  <c:v>7.7418100166015358E-2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E4-BD4F-91C3-31DB3C0E24AF}"/>
            </c:ext>
          </c:extLst>
        </c:ser>
        <c:ser>
          <c:idx val="6"/>
          <c:order val="6"/>
          <c:tx>
            <c:strRef>
              <c:f>'Total Costs'!$B$29</c:f>
              <c:strCache>
                <c:ptCount val="1"/>
                <c:pt idx="0">
                  <c:v>Overhead (accounting, legal, office space, etc.)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'Total Costs'!$D$29:$O$29</c:f>
              <c:numCache>
                <c:formatCode>0%</c:formatCode>
                <c:ptCount val="12"/>
                <c:pt idx="0">
                  <c:v>0.13043478260869565</c:v>
                </c:pt>
                <c:pt idx="1">
                  <c:v>0.13043478260869565</c:v>
                </c:pt>
                <c:pt idx="2">
                  <c:v>0.13043478260869562</c:v>
                </c:pt>
                <c:pt idx="3">
                  <c:v>0.13043478260869565</c:v>
                </c:pt>
                <c:pt idx="4">
                  <c:v>0.13043478260869565</c:v>
                </c:pt>
                <c:pt idx="5">
                  <c:v>0.13043478260869565</c:v>
                </c:pt>
                <c:pt idx="6">
                  <c:v>0.13043478260869565</c:v>
                </c:pt>
                <c:pt idx="7">
                  <c:v>0.13043478260869562</c:v>
                </c:pt>
                <c:pt idx="8">
                  <c:v>0.13043478260869565</c:v>
                </c:pt>
                <c:pt idx="9">
                  <c:v>0.13043478260869565</c:v>
                </c:pt>
                <c:pt idx="10">
                  <c:v>0.13043478260869565</c:v>
                </c:pt>
                <c:pt idx="11">
                  <c:v>0.13043478260869565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E4-BD4F-91C3-31DB3C0E2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1593920"/>
        <c:axId val="841625536"/>
      </c:barChart>
      <c:catAx>
        <c:axId val="84159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625536"/>
        <c:crosses val="autoZero"/>
        <c:auto val="1"/>
        <c:lblAlgn val="ctr"/>
        <c:lblOffset val="100"/>
        <c:noMultiLvlLbl val="0"/>
      </c:catAx>
      <c:valAx>
        <c:axId val="8416255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59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95460634740118"/>
          <c:y val="0.83068906709241985"/>
          <c:w val="0.7882424657138174"/>
          <c:h val="0.12630018021940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Costs'!$B$32</c:f>
              <c:strCache>
                <c:ptCount val="1"/>
                <c:pt idx="0">
                  <c:v>Product costs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'Total Costs'!$D$32:$O$32</c:f>
              <c:numCache>
                <c:formatCode>0%</c:formatCode>
                <c:ptCount val="12"/>
                <c:pt idx="0">
                  <c:v>0.69031390354150046</c:v>
                </c:pt>
                <c:pt idx="1">
                  <c:v>0.67177610868542614</c:v>
                </c:pt>
                <c:pt idx="2">
                  <c:v>0.74969372290565095</c:v>
                </c:pt>
                <c:pt idx="3">
                  <c:v>0.74186004109670356</c:v>
                </c:pt>
                <c:pt idx="4">
                  <c:v>0.73338212364984334</c:v>
                </c:pt>
                <c:pt idx="5">
                  <c:v>0.72419027360266819</c:v>
                </c:pt>
                <c:pt idx="6">
                  <c:v>0.71420727830145558</c:v>
                </c:pt>
                <c:pt idx="7">
                  <c:v>0.70411430654231211</c:v>
                </c:pt>
                <c:pt idx="8">
                  <c:v>0.69314468423747611</c:v>
                </c:pt>
                <c:pt idx="9">
                  <c:v>0.68120685830958438</c:v>
                </c:pt>
                <c:pt idx="10">
                  <c:v>0.66820382664902955</c:v>
                </c:pt>
                <c:pt idx="11">
                  <c:v>0.65403504798186085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B-7544-96DE-65C77ABA690E}"/>
            </c:ext>
          </c:extLst>
        </c:ser>
        <c:ser>
          <c:idx val="1"/>
          <c:order val="1"/>
          <c:tx>
            <c:strRef>
              <c:f>'Total Costs'!$B$33</c:f>
              <c:strCache>
                <c:ptCount val="1"/>
                <c:pt idx="0">
                  <c:v>Sales, Marketing, Community Mgt 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'Total Costs'!$D$33:$O$33</c:f>
              <c:numCache>
                <c:formatCode>0%</c:formatCode>
                <c:ptCount val="12"/>
                <c:pt idx="0">
                  <c:v>9.383558175891521E-2</c:v>
                </c:pt>
                <c:pt idx="1">
                  <c:v>0.10353829396115793</c:v>
                </c:pt>
                <c:pt idx="2">
                  <c:v>0.1198714944856533</c:v>
                </c:pt>
                <c:pt idx="3">
                  <c:v>0.12770517629460099</c:v>
                </c:pt>
                <c:pt idx="4">
                  <c:v>0.13618309374146093</c:v>
                </c:pt>
                <c:pt idx="5">
                  <c:v>0.14537494378863619</c:v>
                </c:pt>
                <c:pt idx="6">
                  <c:v>0.15535793908984868</c:v>
                </c:pt>
                <c:pt idx="7">
                  <c:v>0.16545091084899216</c:v>
                </c:pt>
                <c:pt idx="8">
                  <c:v>0.17642053315382822</c:v>
                </c:pt>
                <c:pt idx="9">
                  <c:v>0.18835835908171991</c:v>
                </c:pt>
                <c:pt idx="10">
                  <c:v>0.20136139074227469</c:v>
                </c:pt>
                <c:pt idx="11">
                  <c:v>0.21553016940944353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B-7544-96DE-65C77ABA690E}"/>
            </c:ext>
          </c:extLst>
        </c:ser>
        <c:ser>
          <c:idx val="2"/>
          <c:order val="2"/>
          <c:tx>
            <c:strRef>
              <c:f>'Total Costs'!$B$34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'Total Costs'!$D$34:$O$34</c:f>
              <c:numCache>
                <c:formatCode>0%</c:formatCode>
                <c:ptCount val="12"/>
                <c:pt idx="0">
                  <c:v>0.21585051469958438</c:v>
                </c:pt>
                <c:pt idx="1">
                  <c:v>0.22468559735341587</c:v>
                </c:pt>
                <c:pt idx="2">
                  <c:v>0.13043478260869579</c:v>
                </c:pt>
                <c:pt idx="3">
                  <c:v>0.13043478260869545</c:v>
                </c:pt>
                <c:pt idx="4">
                  <c:v>0.13043478260869579</c:v>
                </c:pt>
                <c:pt idx="5">
                  <c:v>0.13043478260869557</c:v>
                </c:pt>
                <c:pt idx="6">
                  <c:v>0.13043478260869579</c:v>
                </c:pt>
                <c:pt idx="7">
                  <c:v>0.13043478260869579</c:v>
                </c:pt>
                <c:pt idx="8">
                  <c:v>0.13043478260869568</c:v>
                </c:pt>
                <c:pt idx="9">
                  <c:v>0.13043478260869568</c:v>
                </c:pt>
                <c:pt idx="10">
                  <c:v>0.13043478260869579</c:v>
                </c:pt>
                <c:pt idx="11">
                  <c:v>0.13043478260869557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B-7544-96DE-65C77ABA6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49144832"/>
        <c:axId val="848456944"/>
      </c:barChart>
      <c:catAx>
        <c:axId val="849144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56944"/>
        <c:crosses val="autoZero"/>
        <c:auto val="1"/>
        <c:lblAlgn val="ctr"/>
        <c:lblOffset val="100"/>
        <c:noMultiLvlLbl val="0"/>
      </c:catAx>
      <c:valAx>
        <c:axId val="8484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14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Returns!$B$59</c:f>
              <c:strCache>
                <c:ptCount val="1"/>
                <c:pt idx="0">
                  <c:v>Revenues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Returns!$D$59:$O$59</c:f>
              <c:numCache>
                <c:formatCode>_("$"* #,##0_);_("$"* \(#,##0\);_("$"* "-"??_);_(@_)</c:formatCode>
                <c:ptCount val="12"/>
                <c:pt idx="2">
                  <c:v>532680</c:v>
                </c:pt>
                <c:pt idx="3">
                  <c:v>847557.67500000005</c:v>
                </c:pt>
                <c:pt idx="4">
                  <c:v>1132466.1020500001</c:v>
                </c:pt>
                <c:pt idx="5">
                  <c:v>1284413.3374315</c:v>
                </c:pt>
                <c:pt idx="6">
                  <c:v>1523102.1139733451</c:v>
                </c:pt>
                <c:pt idx="7">
                  <c:v>1783233.1874585026</c:v>
                </c:pt>
                <c:pt idx="8">
                  <c:v>2066761.1674471796</c:v>
                </c:pt>
                <c:pt idx="9">
                  <c:v>2235621.7381499228</c:v>
                </c:pt>
                <c:pt idx="10">
                  <c:v>2513107.0746174939</c:v>
                </c:pt>
                <c:pt idx="11">
                  <c:v>2793086.344422088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4-244E-9075-385258F65946}"/>
            </c:ext>
          </c:extLst>
        </c:ser>
        <c:ser>
          <c:idx val="1"/>
          <c:order val="1"/>
          <c:tx>
            <c:strRef>
              <c:f>Returns!$B$60</c:f>
              <c:strCache>
                <c:ptCount val="1"/>
                <c:pt idx="0">
                  <c:v>Costs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Returns!$D$60:$O$60</c:f>
              <c:numCache>
                <c:formatCode>_("$"* #,##0_);_("$"* \(#,##0\);_("$"* "-"??_);_(@_)</c:formatCode>
                <c:ptCount val="12"/>
                <c:pt idx="2">
                  <c:v>-1418394.4786</c:v>
                </c:pt>
                <c:pt idx="3">
                  <c:v>-1428418.1171999997</c:v>
                </c:pt>
                <c:pt idx="4">
                  <c:v>-1440411.3258</c:v>
                </c:pt>
                <c:pt idx="5">
                  <c:v>-1454595.8038499998</c:v>
                </c:pt>
                <c:pt idx="6">
                  <c:v>-1471227.244071</c:v>
                </c:pt>
                <c:pt idx="7">
                  <c:v>-1496775.7536183454</c:v>
                </c:pt>
                <c:pt idx="8">
                  <c:v>-1525410.8558958105</c:v>
                </c:pt>
                <c:pt idx="9">
                  <c:v>-1557532.9311086582</c:v>
                </c:pt>
                <c:pt idx="10">
                  <c:v>-1593609.7744105901</c:v>
                </c:pt>
                <c:pt idx="11">
                  <c:v>-1634189.4300173649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4-244E-9075-385258F65946}"/>
            </c:ext>
          </c:extLst>
        </c:ser>
        <c:ser>
          <c:idx val="2"/>
          <c:order val="2"/>
          <c:tx>
            <c:strRef>
              <c:f>Returns!$B$61</c:f>
              <c:strCache>
                <c:ptCount val="1"/>
                <c:pt idx="0">
                  <c:v>Seed funding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Returns!$D$61:$O$61</c:f>
              <c:numCache>
                <c:formatCode>_("$"* #,##0_);_("$"* \(#,##0\);_("$"* "-"??_);_(@_)</c:formatCode>
                <c:ptCount val="12"/>
                <c:pt idx="0">
                  <c:v>1639037.1021</c:v>
                </c:pt>
                <c:pt idx="1">
                  <c:v>1485440.7400000002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4-244E-9075-385258F65946}"/>
            </c:ext>
          </c:extLst>
        </c:ser>
        <c:ser>
          <c:idx val="3"/>
          <c:order val="3"/>
          <c:tx>
            <c:strRef>
              <c:f>Returns!$B$62</c:f>
              <c:strCache>
                <c:ptCount val="1"/>
                <c:pt idx="0">
                  <c:v>Impact Investment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Returns!$D$62:$O$62</c:f>
              <c:numCache>
                <c:formatCode>_("$"* #,##0_);_("$"* \(#,##0\);_("$"* "-"??_);_(@_)</c:formatCode>
                <c:ptCount val="12"/>
                <c:pt idx="1">
                  <c:v>4287223.9216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4-244E-9075-385258F6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8813424"/>
        <c:axId val="841313792"/>
      </c:barChart>
      <c:catAx>
        <c:axId val="818813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313792"/>
        <c:crosses val="autoZero"/>
        <c:auto val="1"/>
        <c:lblAlgn val="ctr"/>
        <c:lblOffset val="100"/>
        <c:noMultiLvlLbl val="0"/>
      </c:catAx>
      <c:valAx>
        <c:axId val="841313792"/>
        <c:scaling>
          <c:orientation val="minMax"/>
          <c:max val="6000000"/>
          <c:min val="-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81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Health Customer Growth Projections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'Public Health Pricing'!$B$12</c:f>
              <c:strCache>
                <c:ptCount val="1"/>
                <c:pt idx="0">
                  <c:v># of customers (cumulative)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F4-9444-BC96-19A4E2FADA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'Public Health Pricing'!$C$12:$L$12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4-9444-BC96-19A4E2FAD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532687"/>
        <c:axId val="2143441951"/>
      </c:barChart>
      <c:lineChart>
        <c:grouping val="standard"/>
        <c:varyColors val="0"/>
        <c:ser>
          <c:idx val="2"/>
          <c:order val="1"/>
          <c:tx>
            <c:strRef>
              <c:f>'Public Health Pricing'!$B$14</c:f>
              <c:strCache>
                <c:ptCount val="1"/>
                <c:pt idx="0">
                  <c:v>New paying customers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'Public Health Pricing'!$C$14:$L$14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4-9444-BC96-19A4E2FADA71}"/>
            </c:ext>
          </c:extLst>
        </c:ser>
        <c:ser>
          <c:idx val="3"/>
          <c:order val="2"/>
          <c:tx>
            <c:strRef>
              <c:f>'Public Health Pricing'!$B$15</c:f>
              <c:strCache>
                <c:ptCount val="1"/>
                <c:pt idx="0">
                  <c:v>Conversion from non-paying customers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'Public Health Pricing'!$C$15:$L$15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4-9444-BC96-19A4E2FADA71}"/>
            </c:ext>
          </c:extLst>
        </c:ser>
        <c:ser>
          <c:idx val="4"/>
          <c:order val="3"/>
          <c:tx>
            <c:strRef>
              <c:f>'Public Health Pricing'!$B$16</c:f>
              <c:strCache>
                <c:ptCount val="1"/>
                <c:pt idx="0">
                  <c:v>Current non-paying customers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'Public Health Pricing'!$C$16:$L$16</c:f>
              <c:numCache>
                <c:formatCode>_(* #,##0_);_(* \(#,##0\);_(* "-"??_);_(@_)</c:formatCode>
                <c:ptCount val="10"/>
                <c:pt idx="0" formatCode="General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F4-9444-BC96-19A4E2FAD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532687"/>
        <c:axId val="2143441951"/>
      </c:lineChart>
      <c:catAx>
        <c:axId val="20995326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441951"/>
        <c:crosses val="autoZero"/>
        <c:auto val="1"/>
        <c:lblAlgn val="ctr"/>
        <c:lblOffset val="100"/>
        <c:noMultiLvlLbl val="0"/>
      </c:catAx>
      <c:valAx>
        <c:axId val="2143441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532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42418480758526E-2"/>
          <c:y val="0.88062011788156969"/>
          <c:w val="0.8150546731364906"/>
          <c:h val="0.10363644477648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Health Revenues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'Public Health Pricing'!$B$52</c:f>
              <c:strCache>
                <c:ptCount val="1"/>
                <c:pt idx="0">
                  <c:v>Implementors - Basic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'Public Health Pricing'!$C$52:$L$52</c:f>
              <c:numCache>
                <c:formatCode>_("$"* #,##0_);_("$"* \(#,##0\);_("$"* "-"??_);_(@_)</c:formatCode>
                <c:ptCount val="10"/>
                <c:pt idx="0">
                  <c:v>25000</c:v>
                </c:pt>
                <c:pt idx="1">
                  <c:v>100000</c:v>
                </c:pt>
                <c:pt idx="2">
                  <c:v>150000</c:v>
                </c:pt>
                <c:pt idx="3">
                  <c:v>150000</c:v>
                </c:pt>
                <c:pt idx="4">
                  <c:v>150000</c:v>
                </c:pt>
                <c:pt idx="5">
                  <c:v>100000</c:v>
                </c:pt>
                <c:pt idx="6">
                  <c:v>50000</c:v>
                </c:pt>
                <c:pt idx="7">
                  <c:v>50000</c:v>
                </c:pt>
                <c:pt idx="8">
                  <c:v>50000</c:v>
                </c:pt>
                <c:pt idx="9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1-A94C-A6D1-5DE3D099EF74}"/>
            </c:ext>
          </c:extLst>
        </c:ser>
        <c:ser>
          <c:idx val="1"/>
          <c:order val="1"/>
          <c:tx>
            <c:strRef>
              <c:f>'Public Health Pricing'!$B$53</c:f>
              <c:strCache>
                <c:ptCount val="1"/>
                <c:pt idx="0">
                  <c:v>Gov - Basic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'Public Health Pricing'!$C$53:$L$53</c:f>
              <c:numCache>
                <c:formatCode>_("$"* #,##0_);_("$"* \(#,##0\);_("$"*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10000</c:v>
                </c:pt>
                <c:pt idx="3">
                  <c:v>40000</c:v>
                </c:pt>
                <c:pt idx="4">
                  <c:v>70000</c:v>
                </c:pt>
                <c:pt idx="5">
                  <c:v>100000</c:v>
                </c:pt>
                <c:pt idx="6">
                  <c:v>130000</c:v>
                </c:pt>
                <c:pt idx="7">
                  <c:v>140000</c:v>
                </c:pt>
                <c:pt idx="8">
                  <c:v>150000</c:v>
                </c:pt>
                <c:pt idx="9">
                  <c:v>160000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1-A94C-A6D1-5DE3D099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7043439"/>
        <c:axId val="10901616"/>
      </c:barChart>
      <c:catAx>
        <c:axId val="2147043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1616"/>
        <c:crosses val="autoZero"/>
        <c:auto val="1"/>
        <c:lblAlgn val="ctr"/>
        <c:lblOffset val="100"/>
        <c:noMultiLvlLbl val="0"/>
      </c:catAx>
      <c:valAx>
        <c:axId val="1090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704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# of Customers in Low Income Countries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Customers!$B$6</c:f>
              <c:strCache>
                <c:ptCount val="1"/>
                <c:pt idx="0">
                  <c:v>Hospitals Network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Customers!$C$6:$L$6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2</c:v>
                </c:pt>
                <c:pt idx="6" formatCode="_(* #,##0_);_(* \(#,##0\);_(* &quot;-&quot;??_);_(@_)">
                  <c:v>2</c:v>
                </c:pt>
                <c:pt idx="7" formatCode="_(* #,##0_);_(* \(#,##0\);_(* &quot;-&quot;??_);_(@_)">
                  <c:v>2</c:v>
                </c:pt>
                <c:pt idx="8" formatCode="_(* #,##0_);_(* \(#,##0\);_(* &quot;-&quot;??_);_(@_)">
                  <c:v>2</c:v>
                </c:pt>
                <c:pt idx="9" formatCode="_(* #,##0_);_(* \(#,##0\);_(* &quot;-&quot;??_);_(@_)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C-A848-ADCF-00B1530D9781}"/>
            </c:ext>
          </c:extLst>
        </c:ser>
        <c:ser>
          <c:idx val="1"/>
          <c:order val="1"/>
          <c:tx>
            <c:strRef>
              <c:f>Customers!$B$7</c:f>
              <c:strCache>
                <c:ptCount val="1"/>
                <c:pt idx="0">
                  <c:v>Clinics Network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Customers!$C$7:$L$7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7</c:v>
                </c:pt>
                <c:pt idx="6" formatCode="_(* #,##0_);_(* \(#,##0\);_(* &quot;-&quot;??_);_(@_)">
                  <c:v>7</c:v>
                </c:pt>
                <c:pt idx="7" formatCode="_(* #,##0_);_(* \(#,##0\);_(* &quot;-&quot;??_);_(@_)">
                  <c:v>7</c:v>
                </c:pt>
                <c:pt idx="8" formatCode="_(* #,##0_);_(* \(#,##0\);_(* &quot;-&quot;??_);_(@_)">
                  <c:v>7</c:v>
                </c:pt>
                <c:pt idx="9" formatCode="_(* #,##0_);_(* \(#,##0\);_(* &quot;-&quot;??_);_(@_)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C-A848-ADCF-00B1530D9781}"/>
            </c:ext>
          </c:extLst>
        </c:ser>
        <c:ser>
          <c:idx val="2"/>
          <c:order val="2"/>
          <c:tx>
            <c:strRef>
              <c:f>Customers!$B$8</c:f>
              <c:strCache>
                <c:ptCount val="1"/>
                <c:pt idx="0">
                  <c:v>Pharma Manufacturer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Customers!$C$8:$L$8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C-A848-ADCF-00B1530D9781}"/>
            </c:ext>
          </c:extLst>
        </c:ser>
        <c:ser>
          <c:idx val="3"/>
          <c:order val="3"/>
          <c:tx>
            <c:strRef>
              <c:f>Customers!$B$9</c:f>
              <c:strCache>
                <c:ptCount val="1"/>
                <c:pt idx="0">
                  <c:v>Pharma Supplier/ Retailer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Customers!$C$9:$L$9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5</c:v>
                </c:pt>
                <c:pt idx="6" formatCode="_(* #,##0_);_(* \(#,##0\);_(* &quot;-&quot;??_);_(@_)">
                  <c:v>5</c:v>
                </c:pt>
                <c:pt idx="7" formatCode="_(* #,##0_);_(* \(#,##0\);_(* &quot;-&quot;??_);_(@_)">
                  <c:v>5</c:v>
                </c:pt>
                <c:pt idx="8" formatCode="_(* #,##0_);_(* \(#,##0\);_(* &quot;-&quot;??_);_(@_)">
                  <c:v>5</c:v>
                </c:pt>
                <c:pt idx="9" formatCode="_(* #,##0_);_(* \(#,##0\);_(* &quot;-&quot;??_);_(@_)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C-A848-ADCF-00B1530D9781}"/>
            </c:ext>
          </c:extLst>
        </c:ser>
        <c:ser>
          <c:idx val="4"/>
          <c:order val="4"/>
          <c:tx>
            <c:strRef>
              <c:f>Customers!$B$10</c:f>
              <c:strCache>
                <c:ptCount val="1"/>
                <c:pt idx="0">
                  <c:v>Diagnostics Lab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Customers!$C$10:$L$10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DC-A848-ADCF-00B1530D9781}"/>
            </c:ext>
          </c:extLst>
        </c:ser>
        <c:ser>
          <c:idx val="5"/>
          <c:order val="5"/>
          <c:tx>
            <c:strRef>
              <c:f>Customers!$B$11</c:f>
              <c:strCache>
                <c:ptCount val="1"/>
                <c:pt idx="0">
                  <c:v>Medical Device/ Tech Supplier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Customers!$C$11:$L$11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C-A848-ADCF-00B1530D9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1463663"/>
        <c:axId val="2141626991"/>
      </c:barChart>
      <c:catAx>
        <c:axId val="21414636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626991"/>
        <c:crosses val="autoZero"/>
        <c:auto val="1"/>
        <c:lblAlgn val="ctr"/>
        <c:lblOffset val="100"/>
        <c:noMultiLvlLbl val="0"/>
      </c:catAx>
      <c:valAx>
        <c:axId val="214162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46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# of Customers in Middle Income Countries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Customers!$B$15</c:f>
              <c:strCache>
                <c:ptCount val="1"/>
                <c:pt idx="0">
                  <c:v>Hospitals Network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Customers!$C$15:$L$15</c:f>
              <c:numCache>
                <c:formatCode>_(* #,##0_);_(* \(#,##0\);_(* "-"??_);_(@_)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4-7A45-A684-05DA8A0CDEBE}"/>
            </c:ext>
          </c:extLst>
        </c:ser>
        <c:ser>
          <c:idx val="1"/>
          <c:order val="1"/>
          <c:tx>
            <c:strRef>
              <c:f>Customers!$B$16</c:f>
              <c:strCache>
                <c:ptCount val="1"/>
                <c:pt idx="0">
                  <c:v>Clinics Network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Customers!$C$16:$L$16</c:f>
              <c:numCache>
                <c:formatCode>General</c:formatCode>
                <c:ptCount val="10"/>
                <c:pt idx="2" formatCode="_(* #,##0_);_(* \(#,##0\);_(* &quot;-&quot;??_);_(@_)">
                  <c:v>8</c:v>
                </c:pt>
                <c:pt idx="3" formatCode="_(* #,##0_);_(* \(#,##0\);_(* &quot;-&quot;??_);_(@_)">
                  <c:v>18</c:v>
                </c:pt>
                <c:pt idx="4" formatCode="_(* #,##0_);_(* \(#,##0\);_(* &quot;-&quot;??_);_(@_)">
                  <c:v>27</c:v>
                </c:pt>
                <c:pt idx="5" formatCode="_(* #,##0_);_(* \(#,##0\);_(* &quot;-&quot;??_);_(@_)">
                  <c:v>27</c:v>
                </c:pt>
                <c:pt idx="6" formatCode="_(* #,##0_);_(* \(#,##0\);_(* &quot;-&quot;??_);_(@_)">
                  <c:v>36</c:v>
                </c:pt>
                <c:pt idx="7" formatCode="_(* #,##0_);_(* \(#,##0\);_(* &quot;-&quot;??_);_(@_)">
                  <c:v>44</c:v>
                </c:pt>
                <c:pt idx="8" formatCode="_(* #,##0_);_(* \(#,##0\);_(* &quot;-&quot;??_);_(@_)">
                  <c:v>53</c:v>
                </c:pt>
                <c:pt idx="9" formatCode="_(* #,##0_);_(* \(#,##0\);_(* &quot;-&quot;??_);_(@_)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4-7A45-A684-05DA8A0CDEBE}"/>
            </c:ext>
          </c:extLst>
        </c:ser>
        <c:ser>
          <c:idx val="2"/>
          <c:order val="2"/>
          <c:tx>
            <c:strRef>
              <c:f>Customers!$B$17</c:f>
              <c:strCache>
                <c:ptCount val="1"/>
                <c:pt idx="0">
                  <c:v>Pharma Manufacturer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Customers!$C$17:$L$17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4-7A45-A684-05DA8A0CDEBE}"/>
            </c:ext>
          </c:extLst>
        </c:ser>
        <c:ser>
          <c:idx val="3"/>
          <c:order val="3"/>
          <c:tx>
            <c:strRef>
              <c:f>Customers!$B$18</c:f>
              <c:strCache>
                <c:ptCount val="1"/>
                <c:pt idx="0">
                  <c:v>Pharma Supplier/ Retailer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Customers!$C$18:$L$18</c:f>
              <c:numCache>
                <c:formatCode>General</c:formatCode>
                <c:ptCount val="10"/>
                <c:pt idx="2" formatCode="_(* #,##0_);_(* \(#,##0\);_(* &quot;-&quot;??_);_(@_)">
                  <c:v>10</c:v>
                </c:pt>
                <c:pt idx="3" formatCode="_(* #,##0_);_(* \(#,##0\);_(* &quot;-&quot;??_);_(@_)">
                  <c:v>22</c:v>
                </c:pt>
                <c:pt idx="4" formatCode="_(* #,##0_);_(* \(#,##0\);_(* &quot;-&quot;??_);_(@_)">
                  <c:v>33</c:v>
                </c:pt>
                <c:pt idx="5" formatCode="_(* #,##0_);_(* \(#,##0\);_(* &quot;-&quot;??_);_(@_)">
                  <c:v>33</c:v>
                </c:pt>
                <c:pt idx="6" formatCode="_(* #,##0_);_(* \(#,##0\);_(* &quot;-&quot;??_);_(@_)">
                  <c:v>44</c:v>
                </c:pt>
                <c:pt idx="7" formatCode="_(* #,##0_);_(* \(#,##0\);_(* &quot;-&quot;??_);_(@_)">
                  <c:v>55</c:v>
                </c:pt>
                <c:pt idx="8" formatCode="_(* #,##0_);_(* \(#,##0\);_(* &quot;-&quot;??_);_(@_)">
                  <c:v>66</c:v>
                </c:pt>
                <c:pt idx="9" formatCode="_(* #,##0_);_(* \(#,##0\);_(* &quot;-&quot;??_);_(@_)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4-7A45-A684-05DA8A0CDEBE}"/>
            </c:ext>
          </c:extLst>
        </c:ser>
        <c:ser>
          <c:idx val="4"/>
          <c:order val="4"/>
          <c:tx>
            <c:strRef>
              <c:f>Customers!$B$19</c:f>
              <c:strCache>
                <c:ptCount val="1"/>
                <c:pt idx="0">
                  <c:v>Diagnostics Lab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Customers!$C$19:$L$19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4-7A45-A684-05DA8A0CDEBE}"/>
            </c:ext>
          </c:extLst>
        </c:ser>
        <c:ser>
          <c:idx val="5"/>
          <c:order val="5"/>
          <c:tx>
            <c:strRef>
              <c:f>Customers!$B$20</c:f>
              <c:strCache>
                <c:ptCount val="1"/>
                <c:pt idx="0">
                  <c:v>Medical Device/ Tech Supplier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Customers!$C$20:$L$20</c:f>
              <c:numCache>
                <c:formatCode>General</c:formatCode>
                <c:ptCount val="10"/>
                <c:pt idx="2" formatCode="_(* #,##0_);_(* \(#,##0\);_(* &quot;-&quot;??_);_(@_)">
                  <c:v>0</c:v>
                </c:pt>
                <c:pt idx="3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5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4-7A45-A684-05DA8A0CD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1463663"/>
        <c:axId val="2141626991"/>
      </c:barChart>
      <c:catAx>
        <c:axId val="21414636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626991"/>
        <c:crosses val="autoZero"/>
        <c:auto val="1"/>
        <c:lblAlgn val="ctr"/>
        <c:lblOffset val="100"/>
        <c:noMultiLvlLbl val="0"/>
      </c:catAx>
      <c:valAx>
        <c:axId val="214162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46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Customers (Cumulative)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Customers!$B$56</c:f>
              <c:strCache>
                <c:ptCount val="1"/>
                <c:pt idx="0">
                  <c:v>Private health customers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Customers!$C$56:$L$56</c:f>
              <c:numCache>
                <c:formatCode>_(* #,##0_);_(* \(#,##0\);_(* "-"??_);_(@_)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20</c:v>
                </c:pt>
                <c:pt idx="3">
                  <c:v>45</c:v>
                </c:pt>
                <c:pt idx="4">
                  <c:v>67</c:v>
                </c:pt>
                <c:pt idx="5">
                  <c:v>81</c:v>
                </c:pt>
                <c:pt idx="6">
                  <c:v>103</c:v>
                </c:pt>
                <c:pt idx="7">
                  <c:v>124</c:v>
                </c:pt>
                <c:pt idx="8">
                  <c:v>147</c:v>
                </c:pt>
                <c:pt idx="9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E-C34A-AD7E-27DC2682B45D}"/>
            </c:ext>
          </c:extLst>
        </c:ser>
        <c:ser>
          <c:idx val="1"/>
          <c:order val="1"/>
          <c:tx>
            <c:strRef>
              <c:f>Customers!$B$57</c:f>
              <c:strCache>
                <c:ptCount val="1"/>
                <c:pt idx="0">
                  <c:v>Public health customers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Customers!$C$57:$L$57</c:f>
              <c:numCache>
                <c:formatCode>_(* #,##0_);_(* \(#,##0\);_(* "-"??_);_(@_)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E-C34A-AD7E-27DC2682B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1511375"/>
        <c:axId val="2141749471"/>
      </c:barChart>
      <c:catAx>
        <c:axId val="21415113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749471"/>
        <c:crosses val="autoZero"/>
        <c:auto val="1"/>
        <c:lblAlgn val="ctr"/>
        <c:lblOffset val="100"/>
        <c:noMultiLvlLbl val="0"/>
      </c:catAx>
      <c:valAx>
        <c:axId val="2141749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1511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</a:t>
            </a:r>
            <a:r>
              <a:rPr lang="en-US" baseline="0"/>
              <a:t> Customers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127798774431133E-2"/>
          <c:y val="0.13225464371356799"/>
          <c:w val="0.92274033387815468"/>
          <c:h val="0.7478629721319625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Customers!$B$88</c:f>
              <c:strCache>
                <c:ptCount val="1"/>
                <c:pt idx="0">
                  <c:v>Private health -- middle income countries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Customers!$C$88:$L$88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20</c:v>
                </c:pt>
                <c:pt idx="3">
                  <c:v>45</c:v>
                </c:pt>
                <c:pt idx="4">
                  <c:v>67</c:v>
                </c:pt>
                <c:pt idx="5">
                  <c:v>67</c:v>
                </c:pt>
                <c:pt idx="6">
                  <c:v>89</c:v>
                </c:pt>
                <c:pt idx="7">
                  <c:v>110</c:v>
                </c:pt>
                <c:pt idx="8">
                  <c:v>133</c:v>
                </c:pt>
                <c:pt idx="9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D-7442-BAD2-D1B982DC8238}"/>
            </c:ext>
          </c:extLst>
        </c:ser>
        <c:ser>
          <c:idx val="0"/>
          <c:order val="1"/>
          <c:tx>
            <c:strRef>
              <c:f>Customers!$B$87</c:f>
              <c:strCache>
                <c:ptCount val="1"/>
                <c:pt idx="0">
                  <c:v>Private health -- low income countries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Customers!$C$87:$L$87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7442-BAD2-D1B982DC8238}"/>
            </c:ext>
          </c:extLst>
        </c:ser>
        <c:ser>
          <c:idx val="2"/>
          <c:order val="2"/>
          <c:tx>
            <c:strRef>
              <c:f>Customers!$B$89</c:f>
              <c:strCache>
                <c:ptCount val="1"/>
                <c:pt idx="0">
                  <c:v>Public health -- low income countries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Customers!$C$89:$L$89</c:f>
              <c:numCache>
                <c:formatCode>_(* #,##0_);_(* \(#,##0\);_(* "-"??_);_(@_)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8D-7442-BAD2-D1B982DC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9713023"/>
        <c:axId val="8895824"/>
      </c:barChart>
      <c:catAx>
        <c:axId val="2069713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95824"/>
        <c:crosses val="autoZero"/>
        <c:auto val="1"/>
        <c:lblAlgn val="ctr"/>
        <c:lblOffset val="100"/>
        <c:noMultiLvlLbl val="0"/>
      </c:catAx>
      <c:valAx>
        <c:axId val="889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71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97034589554617"/>
          <c:y val="0.151255362440083"/>
          <c:w val="0.42971383448499462"/>
          <c:h val="0.192094101243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36</xdr:row>
      <xdr:rowOff>44450</xdr:rowOff>
    </xdr:from>
    <xdr:to>
      <xdr:col>14</xdr:col>
      <xdr:colOff>228600</xdr:colOff>
      <xdr:row>56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D5085-37D3-E345-B463-68B899783C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736600</xdr:colOff>
      <xdr:row>36</xdr:row>
      <xdr:rowOff>139700</xdr:rowOff>
    </xdr:from>
    <xdr:to>
      <xdr:col>4</xdr:col>
      <xdr:colOff>736600</xdr:colOff>
      <xdr:row>52</xdr:row>
      <xdr:rowOff>76200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988B458-E937-9F4C-94E8-567A76065D88}"/>
            </a:ext>
          </a:extLst>
        </xdr:cNvPr>
        <xdr:cNvCxnSpPr/>
      </xdr:nvCxnSpPr>
      <xdr:spPr>
        <a:xfrm>
          <a:off x="6146800" y="4648200"/>
          <a:ext cx="0" cy="31877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127000</xdr:colOff>
      <xdr:row>38</xdr:row>
      <xdr:rowOff>0</xdr:rowOff>
    </xdr:from>
    <xdr:to>
      <xdr:col>1</xdr:col>
      <xdr:colOff>3467100</xdr:colOff>
      <xdr:row>51</xdr:row>
      <xdr:rowOff>101600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323F4BE-4911-7848-B77F-377FFAB49328}"/>
            </a:ext>
          </a:extLst>
        </xdr:cNvPr>
        <xdr:cNvSpPr txBox="1"/>
      </xdr:nvSpPr>
      <xdr:spPr>
        <a:xfrm>
          <a:off x="482600" y="7759700"/>
          <a:ext cx="3340100" cy="274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- Legal</a:t>
          </a:r>
          <a:r>
            <a:rPr lang="en-US" sz="1200" baseline="0"/>
            <a:t> (business set up costs) and impact investor preparation and outreach only occur in the first two years (during seed stage).</a:t>
          </a:r>
        </a:p>
        <a:p>
          <a:endParaRPr lang="en-US" sz="1200" baseline="0"/>
        </a:p>
        <a:p>
          <a:r>
            <a:rPr lang="en-US" sz="1200" baseline="0"/>
            <a:t>- Other legal and accounting costs are captured in "overhead".</a:t>
          </a:r>
        </a:p>
        <a:p>
          <a:endParaRPr lang="en-US" sz="1200" baseline="0"/>
        </a:p>
        <a:p>
          <a:r>
            <a:rPr lang="en-US" sz="1200" baseline="0"/>
            <a:t>- Sales, Marketing and Community Mgt costs increase over time while software costs decrease due to efficiencies</a:t>
          </a:r>
          <a:endParaRPr lang="en-US" sz="1200"/>
        </a:p>
      </xdr:txBody>
    </xdr:sp>
    <xdr:clientData/>
  </xdr:twoCellAnchor>
  <xdr:twoCellAnchor>
    <xdr:from>
      <xdr:col>2</xdr:col>
      <xdr:colOff>247650</xdr:colOff>
      <xdr:row>58</xdr:row>
      <xdr:rowOff>6350</xdr:rowOff>
    </xdr:from>
    <xdr:to>
      <xdr:col>14</xdr:col>
      <xdr:colOff>444500</xdr:colOff>
      <xdr:row>71</xdr:row>
      <xdr:rowOff>107950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0FBAFC-D036-DE43-B68B-D1A9FFDB9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</xdr:colOff>
      <xdr:row>57</xdr:row>
      <xdr:rowOff>190500</xdr:rowOff>
    </xdr:from>
    <xdr:to>
      <xdr:col>5</xdr:col>
      <xdr:colOff>50800</xdr:colOff>
      <xdr:row>70</xdr:row>
      <xdr:rowOff>76200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8AA20E19-88E9-E84F-86E9-CB5446208A4C}"/>
            </a:ext>
          </a:extLst>
        </xdr:cNvPr>
        <xdr:cNvCxnSpPr/>
      </xdr:nvCxnSpPr>
      <xdr:spPr>
        <a:xfrm flipH="1">
          <a:off x="6299200" y="11811000"/>
          <a:ext cx="38100" cy="25273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2590800</xdr:colOff>
      <xdr:row>63</xdr:row>
      <xdr:rowOff>69850</xdr:rowOff>
    </xdr:from>
    <xdr:to>
      <xdr:col>9</xdr:col>
      <xdr:colOff>571500</xdr:colOff>
      <xdr:row>79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1E8F34-722D-EB46-B29E-4FADC6860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546100</xdr:colOff>
      <xdr:row>62</xdr:row>
      <xdr:rowOff>177800</xdr:rowOff>
    </xdr:from>
    <xdr:to>
      <xdr:col>3</xdr:col>
      <xdr:colOff>571500</xdr:colOff>
      <xdr:row>79</xdr:row>
      <xdr:rowOff>127000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0888793-7570-914D-AF50-7360104D1B29}"/>
            </a:ext>
          </a:extLst>
        </xdr:cNvPr>
        <xdr:cNvCxnSpPr/>
      </xdr:nvCxnSpPr>
      <xdr:spPr>
        <a:xfrm flipH="1">
          <a:off x="4889500" y="13004800"/>
          <a:ext cx="25400" cy="34036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416278</xdr:colOff>
      <xdr:row>56</xdr:row>
      <xdr:rowOff>56443</xdr:rowOff>
    </xdr:from>
    <xdr:to>
      <xdr:col>6</xdr:col>
      <xdr:colOff>776111</xdr:colOff>
      <xdr:row>80</xdr:row>
      <xdr:rowOff>155222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89EA58-CF61-5049-8C1F-7D95D0D572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2173112</xdr:colOff>
      <xdr:row>58</xdr:row>
      <xdr:rowOff>0</xdr:rowOff>
    </xdr:from>
    <xdr:to>
      <xdr:col>1</xdr:col>
      <xdr:colOff>2173112</xdr:colOff>
      <xdr:row>77</xdr:row>
      <xdr:rowOff>169333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42CE646-05B7-AB45-A1D8-E1EF51B4F41D}"/>
            </a:ext>
          </a:extLst>
        </xdr:cNvPr>
        <xdr:cNvCxnSpPr/>
      </xdr:nvCxnSpPr>
      <xdr:spPr>
        <a:xfrm>
          <a:off x="2413001" y="11980333"/>
          <a:ext cx="0" cy="3922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458610</xdr:colOff>
      <xdr:row>56</xdr:row>
      <xdr:rowOff>145344</xdr:rowOff>
    </xdr:from>
    <xdr:to>
      <xdr:col>17</xdr:col>
      <xdr:colOff>211667</xdr:colOff>
      <xdr:row>78</xdr:row>
      <xdr:rowOff>42333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843317-DB9D-1347-8115-EBB1C1E52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818444</xdr:colOff>
      <xdr:row>57</xdr:row>
      <xdr:rowOff>14110</xdr:rowOff>
    </xdr:from>
    <xdr:to>
      <xdr:col>10</xdr:col>
      <xdr:colOff>818444</xdr:colOff>
      <xdr:row>76</xdr:row>
      <xdr:rowOff>183444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4FF851CB-7004-B34C-9D55-A3E694286D44}"/>
            </a:ext>
          </a:extLst>
        </xdr:cNvPr>
        <xdr:cNvCxnSpPr/>
      </xdr:nvCxnSpPr>
      <xdr:spPr>
        <a:xfrm>
          <a:off x="11557000" y="11796888"/>
          <a:ext cx="0" cy="3922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239888</xdr:colOff>
      <xdr:row>25</xdr:row>
      <xdr:rowOff>4233</xdr:rowOff>
    </xdr:from>
    <xdr:to>
      <xdr:col>7</xdr:col>
      <xdr:colOff>493888</xdr:colOff>
      <xdr:row>42</xdr:row>
      <xdr:rowOff>141111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C9E2A9-5B66-F646-AA34-6EEF4F50C1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25</xdr:row>
      <xdr:rowOff>14111</xdr:rowOff>
    </xdr:from>
    <xdr:to>
      <xdr:col>16</xdr:col>
      <xdr:colOff>70555</xdr:colOff>
      <xdr:row>42</xdr:row>
      <xdr:rowOff>150989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5225A7-1869-0240-850A-6F171F189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1919108</xdr:colOff>
      <xdr:row>25</xdr:row>
      <xdr:rowOff>42332</xdr:rowOff>
    </xdr:from>
    <xdr:to>
      <xdr:col>1</xdr:col>
      <xdr:colOff>1933219</xdr:colOff>
      <xdr:row>40</xdr:row>
      <xdr:rowOff>112888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71B34F5E-422A-6D40-8061-83B3C257EEDE}"/>
            </a:ext>
          </a:extLst>
        </xdr:cNvPr>
        <xdr:cNvCxnSpPr/>
      </xdr:nvCxnSpPr>
      <xdr:spPr>
        <a:xfrm>
          <a:off x="2243664" y="5122332"/>
          <a:ext cx="14111" cy="3033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801510</xdr:colOff>
      <xdr:row>25</xdr:row>
      <xdr:rowOff>25399</xdr:rowOff>
    </xdr:from>
    <xdr:to>
      <xdr:col>9</xdr:col>
      <xdr:colOff>815621</xdr:colOff>
      <xdr:row>40</xdr:row>
      <xdr:rowOff>95955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819A973A-AA10-4B40-A73E-2AAE00AD6C1F}"/>
            </a:ext>
          </a:extLst>
        </xdr:cNvPr>
        <xdr:cNvCxnSpPr/>
      </xdr:nvCxnSpPr>
      <xdr:spPr>
        <a:xfrm>
          <a:off x="9889066" y="5105399"/>
          <a:ext cx="14111" cy="3033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162278</xdr:colOff>
      <xdr:row>59</xdr:row>
      <xdr:rowOff>18344</xdr:rowOff>
    </xdr:from>
    <xdr:to>
      <xdr:col>11</xdr:col>
      <xdr:colOff>98778</xdr:colOff>
      <xdr:row>81</xdr:row>
      <xdr:rowOff>169334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AE9973-5E7F-2343-B01A-EEE6365591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268111</xdr:colOff>
      <xdr:row>60</xdr:row>
      <xdr:rowOff>70555</xdr:rowOff>
    </xdr:from>
    <xdr:to>
      <xdr:col>4</xdr:col>
      <xdr:colOff>268111</xdr:colOff>
      <xdr:row>80</xdr:row>
      <xdr:rowOff>42333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476CD200-A678-F442-9787-DB50186B9EA7}"/>
            </a:ext>
          </a:extLst>
        </xdr:cNvPr>
        <xdr:cNvCxnSpPr/>
      </xdr:nvCxnSpPr>
      <xdr:spPr>
        <a:xfrm>
          <a:off x="4572000" y="12220222"/>
          <a:ext cx="0" cy="3922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564444</xdr:colOff>
      <xdr:row>90</xdr:row>
      <xdr:rowOff>159455</xdr:rowOff>
    </xdr:from>
    <xdr:to>
      <xdr:col>11</xdr:col>
      <xdr:colOff>776111</xdr:colOff>
      <xdr:row>112</xdr:row>
      <xdr:rowOff>183444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8D6A-1ED1-0F4D-A82A-2DF344EF7D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747889</xdr:colOff>
      <xdr:row>92</xdr:row>
      <xdr:rowOff>28221</xdr:rowOff>
    </xdr:from>
    <xdr:to>
      <xdr:col>4</xdr:col>
      <xdr:colOff>747889</xdr:colOff>
      <xdr:row>111</xdr:row>
      <xdr:rowOff>197554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86C56AF4-1B7B-C246-ABCA-CCAA97174AB2}"/>
            </a:ext>
          </a:extLst>
        </xdr:cNvPr>
        <xdr:cNvCxnSpPr/>
      </xdr:nvCxnSpPr>
      <xdr:spPr>
        <a:xfrm>
          <a:off x="5672667" y="18626665"/>
          <a:ext cx="0" cy="392288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6</xdr:row>
      <xdr:rowOff>198120</xdr:rowOff>
    </xdr:from>
    <xdr:to>
      <xdr:col>6</xdr:col>
      <xdr:colOff>795866</xdr:colOff>
      <xdr:row>26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861B9-2D93-D04D-BFD2-6D435F3FE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" y="1417320"/>
          <a:ext cx="4936066" cy="3942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152400</xdr:rowOff>
    </xdr:from>
    <xdr:to>
      <xdr:col>10</xdr:col>
      <xdr:colOff>204611</xdr:colOff>
      <xdr:row>60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02338-D01B-1349-A523-5F5F8E08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" y="6248400"/>
          <a:ext cx="7748411" cy="6121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sgadvisors.sharepoint.com/commercial/Shared%20Documents/Active%20Clients/OpenLMIS/3%20-%20Deliverables/2019.11.22%20-%20Final%20Deliverables/Business%20Model%20Development/FinancialModel_v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t share"/>
      <sheetName val="revenue streams"/>
      <sheetName val="customer pricing"/>
      <sheetName val="private health customer COGS"/>
      <sheetName val="Sheet2"/>
      <sheetName val="private health customer rev"/>
      <sheetName val="returns calcs"/>
      <sheetName val="charts"/>
      <sheetName val="assumptions backup"/>
      <sheetName val="mkt sizing"/>
      <sheetName val="Heath's sheet"/>
    </sheetNames>
    <sheetDataSet>
      <sheetData sheetId="0" refreshError="1"/>
      <sheetData sheetId="1" refreshError="1"/>
      <sheetData sheetId="2">
        <row r="14">
          <cell r="C14">
            <v>0.15</v>
          </cell>
          <cell r="D14">
            <v>0.25</v>
          </cell>
          <cell r="E14">
            <v>0.1</v>
          </cell>
        </row>
        <row r="15">
          <cell r="C15">
            <v>0.15</v>
          </cell>
          <cell r="D15">
            <v>0.25</v>
          </cell>
          <cell r="E15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opdraw.com/blog/is-online-advertising-expensive/" TargetMode="External"/><Relationship Id="rId3" Type="http://schemas.openxmlformats.org/officeDocument/2006/relationships/hyperlink" Target="https://www.softwareadvice.com/resources/scm-buyer-report-2015/" TargetMode="External"/><Relationship Id="rId7" Type="http://schemas.openxmlformats.org/officeDocument/2006/relationships/hyperlink" Target="https://cmalive.co.uk/how-much-does-it-cost-to-run-a-conference/" TargetMode="External"/><Relationship Id="rId2" Type="http://schemas.openxmlformats.org/officeDocument/2006/relationships/hyperlink" Target="https://www.koszek.com/blog/2017/02/28/whats-the-most-expensive-stage-of-software-engineering/" TargetMode="External"/><Relationship Id="rId1" Type="http://schemas.openxmlformats.org/officeDocument/2006/relationships/hyperlink" Target="https://www.webstrategiesinc.com/blog/how-much-budget-for-online-marketing-in-2014" TargetMode="External"/><Relationship Id="rId6" Type="http://schemas.openxmlformats.org/officeDocument/2006/relationships/hyperlink" Target="https://wiki.openmrs.org/display/RES/2018+Implementers+Conference" TargetMode="External"/><Relationship Id="rId5" Type="http://schemas.openxmlformats.org/officeDocument/2006/relationships/hyperlink" Target="https://www.betterbuys.com/erp/erp-pricing-guide/" TargetMode="External"/><Relationship Id="rId4" Type="http://schemas.openxmlformats.org/officeDocument/2006/relationships/hyperlink" Target="https://dzone.com/articles/how-much-amp-how-long-does-it-take-to-build-custom" TargetMode="External"/><Relationship Id="rId9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478E-D8CB-1E4E-AD9B-B344BF506C4A}">
  <dimension ref="B3:D17"/>
  <sheetViews>
    <sheetView showGridLines="0" tabSelected="1" zoomScale="90" zoomScaleNormal="90" workbookViewId="0"/>
  </sheetViews>
  <sheetFormatPr defaultColWidth="11.19921875" defaultRowHeight="15.6" x14ac:dyDescent="0.3"/>
  <cols>
    <col min="1" max="1" width="5.19921875" customWidth="1"/>
    <col min="2" max="2" width="22.296875" bestFit="1" customWidth="1"/>
    <col min="3" max="3" width="2.296875" style="136" customWidth="1"/>
    <col min="4" max="4" width="10.796875" style="77"/>
  </cols>
  <sheetData>
    <row r="3" spans="2:4" ht="18" x14ac:dyDescent="0.35">
      <c r="B3" s="8" t="s">
        <v>206</v>
      </c>
      <c r="C3" s="167"/>
    </row>
    <row r="4" spans="2:4" ht="21" customHeight="1" x14ac:dyDescent="0.3">
      <c r="B4" s="58"/>
      <c r="C4" s="149"/>
      <c r="D4" s="77" t="s">
        <v>194</v>
      </c>
    </row>
    <row r="5" spans="2:4" ht="21" customHeight="1" x14ac:dyDescent="0.3">
      <c r="B5" s="156"/>
      <c r="C5" s="149"/>
      <c r="D5" s="77" t="s">
        <v>204</v>
      </c>
    </row>
    <row r="6" spans="2:4" ht="21" customHeight="1" x14ac:dyDescent="0.3">
      <c r="B6" s="159"/>
      <c r="C6" s="149"/>
      <c r="D6" s="77" t="s">
        <v>205</v>
      </c>
    </row>
    <row r="9" spans="2:4" ht="18" x14ac:dyDescent="0.35">
      <c r="B9" s="8" t="s">
        <v>207</v>
      </c>
      <c r="C9" s="167"/>
    </row>
    <row r="10" spans="2:4" ht="22.05" customHeight="1" x14ac:dyDescent="0.3">
      <c r="B10" s="165" t="s">
        <v>20</v>
      </c>
      <c r="C10" s="168"/>
      <c r="D10" s="77" t="s">
        <v>195</v>
      </c>
    </row>
    <row r="11" spans="2:4" ht="22.05" customHeight="1" x14ac:dyDescent="0.3">
      <c r="B11" s="141" t="s">
        <v>218</v>
      </c>
      <c r="D11" s="77" t="s">
        <v>225</v>
      </c>
    </row>
    <row r="12" spans="2:4" ht="22.05" customHeight="1" x14ac:dyDescent="0.3">
      <c r="B12" s="142" t="s">
        <v>219</v>
      </c>
      <c r="D12" s="77" t="s">
        <v>228</v>
      </c>
    </row>
    <row r="13" spans="2:4" ht="22.05" customHeight="1" x14ac:dyDescent="0.3">
      <c r="B13" s="143" t="s">
        <v>224</v>
      </c>
      <c r="D13" s="77" t="s">
        <v>229</v>
      </c>
    </row>
    <row r="14" spans="2:4" ht="22.05" customHeight="1" x14ac:dyDescent="0.3">
      <c r="B14" s="144" t="s">
        <v>223</v>
      </c>
      <c r="D14" s="77" t="s">
        <v>230</v>
      </c>
    </row>
    <row r="15" spans="2:4" ht="22.05" customHeight="1" x14ac:dyDescent="0.3">
      <c r="B15" s="169" t="s">
        <v>222</v>
      </c>
      <c r="D15" s="77" t="s">
        <v>231</v>
      </c>
    </row>
    <row r="16" spans="2:4" ht="22.05" customHeight="1" x14ac:dyDescent="0.3">
      <c r="B16" s="145" t="s">
        <v>221</v>
      </c>
      <c r="D16" s="77" t="s">
        <v>232</v>
      </c>
    </row>
    <row r="17" spans="2:4" ht="22.05" customHeight="1" x14ac:dyDescent="0.3">
      <c r="B17" s="166" t="s">
        <v>220</v>
      </c>
      <c r="D17" s="77" t="s">
        <v>233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B6EED-D365-3843-ADC7-A54E2FA2A556}">
  <sheetPr>
    <tabColor rgb="FF7030A0"/>
  </sheetPr>
  <dimension ref="A2:P34"/>
  <sheetViews>
    <sheetView showGridLines="0" zoomScale="90" zoomScaleNormal="90" workbookViewId="0"/>
  </sheetViews>
  <sheetFormatPr defaultColWidth="11" defaultRowHeight="15.6" x14ac:dyDescent="0.3"/>
  <cols>
    <col min="1" max="1" width="4.69921875" customWidth="1"/>
    <col min="2" max="2" width="46.69921875" bestFit="1" customWidth="1"/>
    <col min="3" max="3" width="8.19921875" customWidth="1"/>
    <col min="4" max="6" width="11.5" style="1" bestFit="1" customWidth="1"/>
    <col min="7" max="15" width="11.5" bestFit="1" customWidth="1"/>
  </cols>
  <sheetData>
    <row r="2" spans="1:16" s="137" customFormat="1" ht="18" x14ac:dyDescent="0.35">
      <c r="B2" s="146" t="s">
        <v>0</v>
      </c>
      <c r="C2" s="146"/>
      <c r="D2" s="146"/>
      <c r="E2" s="146"/>
      <c r="F2" s="146"/>
    </row>
    <row r="3" spans="1:16" x14ac:dyDescent="0.3">
      <c r="B3" s="161"/>
      <c r="C3" s="161"/>
      <c r="D3" s="20">
        <v>1</v>
      </c>
      <c r="E3" s="20">
        <f>D3+1</f>
        <v>2</v>
      </c>
      <c r="F3" s="16">
        <f>E3+1</f>
        <v>3</v>
      </c>
      <c r="G3" s="16">
        <f>F3+1</f>
        <v>4</v>
      </c>
      <c r="H3" s="16">
        <f t="shared" ref="H3:O3" si="0">G3+1</f>
        <v>5</v>
      </c>
      <c r="I3" s="16">
        <f t="shared" si="0"/>
        <v>6</v>
      </c>
      <c r="J3" s="16">
        <f t="shared" si="0"/>
        <v>7</v>
      </c>
      <c r="K3" s="16">
        <f t="shared" si="0"/>
        <v>8</v>
      </c>
      <c r="L3" s="16">
        <f t="shared" si="0"/>
        <v>9</v>
      </c>
      <c r="M3" s="16">
        <f t="shared" si="0"/>
        <v>10</v>
      </c>
      <c r="N3" s="16">
        <f t="shared" si="0"/>
        <v>11</v>
      </c>
      <c r="O3" s="16">
        <f t="shared" si="0"/>
        <v>12</v>
      </c>
    </row>
    <row r="4" spans="1:16" x14ac:dyDescent="0.3">
      <c r="B4" s="23" t="s">
        <v>2</v>
      </c>
      <c r="C4" s="48"/>
      <c r="D4" s="60">
        <v>670450.1</v>
      </c>
      <c r="E4" s="60">
        <v>536883.6</v>
      </c>
      <c r="F4" s="62">
        <f>$E4*F14</f>
        <v>531514.76399999997</v>
      </c>
      <c r="G4" s="62">
        <f t="shared" ref="G4:N4" si="1">$E4*G14</f>
        <v>526145.92799999996</v>
      </c>
      <c r="H4" s="62">
        <f t="shared" si="1"/>
        <v>520777.09199999995</v>
      </c>
      <c r="I4" s="62">
        <f t="shared" si="1"/>
        <v>515408.25599999994</v>
      </c>
      <c r="J4" s="62">
        <f t="shared" si="1"/>
        <v>510039.41999999993</v>
      </c>
      <c r="K4" s="62">
        <f t="shared" si="1"/>
        <v>510039.41999999993</v>
      </c>
      <c r="L4" s="62">
        <f t="shared" si="1"/>
        <v>510039.41999999993</v>
      </c>
      <c r="M4" s="62">
        <f t="shared" si="1"/>
        <v>510039.41999999993</v>
      </c>
      <c r="N4" s="62">
        <f t="shared" si="1"/>
        <v>510039.41999999993</v>
      </c>
      <c r="O4" s="62">
        <f>$E4*O14</f>
        <v>510039.41999999993</v>
      </c>
    </row>
    <row r="5" spans="1:16" x14ac:dyDescent="0.3">
      <c r="B5" s="23" t="s">
        <v>3</v>
      </c>
      <c r="C5" s="48"/>
      <c r="D5" s="60">
        <v>461000</v>
      </c>
      <c r="E5" s="60">
        <v>461000</v>
      </c>
      <c r="F5" s="62">
        <f t="shared" ref="F5:O5" si="2">$E5*F15</f>
        <v>456390</v>
      </c>
      <c r="G5" s="62">
        <f t="shared" si="2"/>
        <v>451780</v>
      </c>
      <c r="H5" s="62">
        <f t="shared" si="2"/>
        <v>447170</v>
      </c>
      <c r="I5" s="62">
        <f t="shared" si="2"/>
        <v>442560</v>
      </c>
      <c r="J5" s="62">
        <f t="shared" si="2"/>
        <v>437950</v>
      </c>
      <c r="K5" s="62">
        <f t="shared" si="2"/>
        <v>433340</v>
      </c>
      <c r="L5" s="62">
        <f t="shared" si="2"/>
        <v>428730</v>
      </c>
      <c r="M5" s="62">
        <f t="shared" si="2"/>
        <v>424120</v>
      </c>
      <c r="N5" s="62">
        <f t="shared" si="2"/>
        <v>419510</v>
      </c>
      <c r="O5" s="62">
        <f t="shared" si="2"/>
        <v>414900</v>
      </c>
    </row>
    <row r="6" spans="1:16" x14ac:dyDescent="0.3">
      <c r="A6" s="40"/>
      <c r="B6" s="23" t="s">
        <v>150</v>
      </c>
      <c r="C6" s="48"/>
      <c r="D6" s="60">
        <v>24999.554</v>
      </c>
      <c r="E6" s="60">
        <v>25004</v>
      </c>
      <c r="F6" s="62">
        <f t="shared" ref="F6:O6" si="3">$E6*F16</f>
        <v>0</v>
      </c>
      <c r="G6" s="62">
        <f t="shared" si="3"/>
        <v>0</v>
      </c>
      <c r="H6" s="62">
        <f t="shared" si="3"/>
        <v>0</v>
      </c>
      <c r="I6" s="62">
        <f t="shared" si="3"/>
        <v>0</v>
      </c>
      <c r="J6" s="62">
        <f t="shared" si="3"/>
        <v>0</v>
      </c>
      <c r="K6" s="62">
        <f t="shared" si="3"/>
        <v>0</v>
      </c>
      <c r="L6" s="62">
        <f t="shared" si="3"/>
        <v>0</v>
      </c>
      <c r="M6" s="62">
        <f t="shared" si="3"/>
        <v>0</v>
      </c>
      <c r="N6" s="62">
        <f t="shared" si="3"/>
        <v>0</v>
      </c>
      <c r="O6" s="62">
        <f t="shared" si="3"/>
        <v>0</v>
      </c>
    </row>
    <row r="7" spans="1:16" x14ac:dyDescent="0.3">
      <c r="A7" s="40"/>
      <c r="B7" s="23" t="s">
        <v>4</v>
      </c>
      <c r="C7" s="48"/>
      <c r="D7" s="60">
        <v>13800</v>
      </c>
      <c r="E7" s="60">
        <v>13800</v>
      </c>
      <c r="F7" s="62">
        <f t="shared" ref="F7:O7" si="4">$E7*F17</f>
        <v>16560</v>
      </c>
      <c r="G7" s="62">
        <f t="shared" si="4"/>
        <v>19872</v>
      </c>
      <c r="H7" s="62">
        <f t="shared" si="4"/>
        <v>23846.400000000001</v>
      </c>
      <c r="I7" s="62">
        <f t="shared" si="4"/>
        <v>28615.679999999997</v>
      </c>
      <c r="J7" s="62">
        <f t="shared" si="4"/>
        <v>34338.815999999999</v>
      </c>
      <c r="K7" s="62">
        <f t="shared" si="4"/>
        <v>41206.5792</v>
      </c>
      <c r="L7" s="62">
        <f t="shared" si="4"/>
        <v>49447.895039999996</v>
      </c>
      <c r="M7" s="62">
        <f t="shared" si="4"/>
        <v>59337.474047999989</v>
      </c>
      <c r="N7" s="62">
        <f t="shared" si="4"/>
        <v>71204.96885759999</v>
      </c>
      <c r="O7" s="62">
        <f t="shared" si="4"/>
        <v>85445.962629119982</v>
      </c>
    </row>
    <row r="8" spans="1:16" x14ac:dyDescent="0.3">
      <c r="A8" s="40"/>
      <c r="B8" s="23" t="s">
        <v>5</v>
      </c>
      <c r="C8" s="48"/>
      <c r="D8" s="60">
        <v>140000</v>
      </c>
      <c r="E8" s="60">
        <v>140000</v>
      </c>
      <c r="F8" s="62">
        <f>$E8*F18</f>
        <v>141400</v>
      </c>
      <c r="G8" s="62">
        <f>$E8*G18</f>
        <v>148470</v>
      </c>
      <c r="H8" s="62">
        <f t="shared" ref="H8:O8" si="5">$E8*H18</f>
        <v>155893.5</v>
      </c>
      <c r="I8" s="62">
        <f t="shared" si="5"/>
        <v>163688.17500000002</v>
      </c>
      <c r="J8" s="62">
        <f t="shared" si="5"/>
        <v>171872.58375000002</v>
      </c>
      <c r="K8" s="62">
        <f t="shared" si="5"/>
        <v>180466.21293750004</v>
      </c>
      <c r="L8" s="62">
        <f t="shared" si="5"/>
        <v>189489.52358437504</v>
      </c>
      <c r="M8" s="62">
        <f t="shared" si="5"/>
        <v>198963.99976359381</v>
      </c>
      <c r="N8" s="62">
        <f t="shared" si="5"/>
        <v>208912.1997517735</v>
      </c>
      <c r="O8" s="62">
        <f t="shared" si="5"/>
        <v>219357.80973936216</v>
      </c>
    </row>
    <row r="9" spans="1:16" x14ac:dyDescent="0.3">
      <c r="A9" s="40"/>
      <c r="B9" s="23" t="s">
        <v>193</v>
      </c>
      <c r="C9" s="48"/>
      <c r="D9" s="60">
        <v>114999.99999999999</v>
      </c>
      <c r="E9" s="60">
        <v>114999.99999999999</v>
      </c>
      <c r="F9" s="62">
        <f t="shared" ref="F9:O9" si="6">$E9*F19</f>
        <v>0</v>
      </c>
      <c r="G9" s="62">
        <f t="shared" si="6"/>
        <v>0</v>
      </c>
      <c r="H9" s="62">
        <f t="shared" si="6"/>
        <v>0</v>
      </c>
      <c r="I9" s="62">
        <f t="shared" si="6"/>
        <v>0</v>
      </c>
      <c r="J9" s="62">
        <f t="shared" si="6"/>
        <v>0</v>
      </c>
      <c r="K9" s="62">
        <f t="shared" si="6"/>
        <v>0</v>
      </c>
      <c r="L9" s="62">
        <f t="shared" si="6"/>
        <v>0</v>
      </c>
      <c r="M9" s="62">
        <f t="shared" si="6"/>
        <v>0</v>
      </c>
      <c r="N9" s="62">
        <f t="shared" si="6"/>
        <v>0</v>
      </c>
      <c r="O9" s="62">
        <f t="shared" si="6"/>
        <v>0</v>
      </c>
    </row>
    <row r="10" spans="1:16" x14ac:dyDescent="0.3">
      <c r="A10" s="40"/>
      <c r="B10" s="23" t="s">
        <v>151</v>
      </c>
      <c r="C10" s="59">
        <v>0.15</v>
      </c>
      <c r="D10" s="47">
        <f>SUM(D4:D9)*0.15</f>
        <v>213787.44810000001</v>
      </c>
      <c r="E10" s="47">
        <f>SUM(E4:E9)*0.15</f>
        <v>193753.14</v>
      </c>
      <c r="F10" s="47">
        <f>SUM(F4:F9)*0.15</f>
        <v>171879.71459999998</v>
      </c>
      <c r="G10" s="47">
        <f t="shared" ref="G10:O10" si="7">SUM(G4:G9)*0.15</f>
        <v>171940.18919999996</v>
      </c>
      <c r="H10" s="47">
        <f t="shared" si="7"/>
        <v>172153.04880000002</v>
      </c>
      <c r="I10" s="47">
        <f t="shared" si="7"/>
        <v>172540.81664999999</v>
      </c>
      <c r="J10" s="47">
        <f t="shared" si="7"/>
        <v>173130.1229625</v>
      </c>
      <c r="K10" s="47">
        <f t="shared" si="7"/>
        <v>174757.831820625</v>
      </c>
      <c r="L10" s="47">
        <f t="shared" si="7"/>
        <v>176656.02579365624</v>
      </c>
      <c r="M10" s="47">
        <f t="shared" si="7"/>
        <v>178869.13407173907</v>
      </c>
      <c r="N10" s="47">
        <f t="shared" si="7"/>
        <v>181449.98829140601</v>
      </c>
      <c r="O10" s="47">
        <f t="shared" si="7"/>
        <v>184461.47885527229</v>
      </c>
    </row>
    <row r="11" spans="1:16" x14ac:dyDescent="0.3">
      <c r="B11" s="48" t="s">
        <v>1</v>
      </c>
      <c r="C11" s="48"/>
      <c r="D11" s="49">
        <f>SUM(D4:D10)</f>
        <v>1639037.1021</v>
      </c>
      <c r="E11" s="49">
        <f>SUM(E4:E10)</f>
        <v>1485440.7400000002</v>
      </c>
      <c r="F11" s="49">
        <f t="shared" ref="F11:O11" si="8">SUM(F4:F10)</f>
        <v>1317744.4786</v>
      </c>
      <c r="G11" s="49">
        <f t="shared" si="8"/>
        <v>1318208.1171999997</v>
      </c>
      <c r="H11" s="49">
        <f t="shared" si="8"/>
        <v>1319840.0408000001</v>
      </c>
      <c r="I11" s="49">
        <f t="shared" si="8"/>
        <v>1322812.92765</v>
      </c>
      <c r="J11" s="49">
        <f t="shared" si="8"/>
        <v>1327330.9427125</v>
      </c>
      <c r="K11" s="49">
        <f t="shared" si="8"/>
        <v>1339810.0439581252</v>
      </c>
      <c r="L11" s="49">
        <f t="shared" si="8"/>
        <v>1354362.8644180312</v>
      </c>
      <c r="M11" s="49">
        <f t="shared" si="8"/>
        <v>1371330.0278833329</v>
      </c>
      <c r="N11" s="49">
        <f t="shared" si="8"/>
        <v>1391116.5769007795</v>
      </c>
      <c r="O11" s="49">
        <f t="shared" si="8"/>
        <v>1414204.6712237543</v>
      </c>
    </row>
    <row r="13" spans="1:16" x14ac:dyDescent="0.3">
      <c r="B13" s="9" t="s">
        <v>209</v>
      </c>
      <c r="C13" s="162"/>
      <c r="D13" s="20">
        <v>1</v>
      </c>
      <c r="E13" s="20">
        <f>D13+1</f>
        <v>2</v>
      </c>
      <c r="F13" s="16">
        <f>E13+1</f>
        <v>3</v>
      </c>
      <c r="G13" s="16">
        <f>F13+1</f>
        <v>4</v>
      </c>
      <c r="H13" s="16">
        <f t="shared" ref="H13:O13" si="9">G13+1</f>
        <v>5</v>
      </c>
      <c r="I13" s="16">
        <f t="shared" si="9"/>
        <v>6</v>
      </c>
      <c r="J13" s="16">
        <f t="shared" si="9"/>
        <v>7</v>
      </c>
      <c r="K13" s="16">
        <f t="shared" si="9"/>
        <v>8</v>
      </c>
      <c r="L13" s="16">
        <f t="shared" si="9"/>
        <v>9</v>
      </c>
      <c r="M13" s="16">
        <f t="shared" si="9"/>
        <v>10</v>
      </c>
      <c r="N13" s="16">
        <f t="shared" si="9"/>
        <v>11</v>
      </c>
      <c r="O13" s="16">
        <f t="shared" si="9"/>
        <v>12</v>
      </c>
      <c r="P13" s="164" t="s">
        <v>211</v>
      </c>
    </row>
    <row r="14" spans="1:16" x14ac:dyDescent="0.3">
      <c r="B14" s="23" t="s">
        <v>2</v>
      </c>
      <c r="C14" s="23"/>
      <c r="D14" s="76"/>
      <c r="E14" s="76"/>
      <c r="F14" s="76">
        <v>0.99</v>
      </c>
      <c r="G14" s="76">
        <v>0.98</v>
      </c>
      <c r="H14" s="76">
        <v>0.97</v>
      </c>
      <c r="I14" s="76">
        <v>0.96</v>
      </c>
      <c r="J14" s="76">
        <v>0.95</v>
      </c>
      <c r="K14" s="76">
        <f>J14</f>
        <v>0.95</v>
      </c>
      <c r="L14" s="76">
        <f t="shared" ref="L14:O14" si="10">K14</f>
        <v>0.95</v>
      </c>
      <c r="M14" s="76">
        <f t="shared" si="10"/>
        <v>0.95</v>
      </c>
      <c r="N14" s="76">
        <f t="shared" si="10"/>
        <v>0.95</v>
      </c>
      <c r="O14" s="76">
        <f t="shared" si="10"/>
        <v>0.95</v>
      </c>
      <c r="P14" s="77" t="s">
        <v>212</v>
      </c>
    </row>
    <row r="15" spans="1:16" x14ac:dyDescent="0.3">
      <c r="B15" s="23" t="s">
        <v>3</v>
      </c>
      <c r="C15" s="23"/>
      <c r="D15" s="76"/>
      <c r="E15" s="76"/>
      <c r="F15" s="76">
        <v>0.99</v>
      </c>
      <c r="G15" s="76">
        <v>0.98</v>
      </c>
      <c r="H15" s="76">
        <v>0.97</v>
      </c>
      <c r="I15" s="76">
        <v>0.96</v>
      </c>
      <c r="J15" s="76">
        <v>0.95</v>
      </c>
      <c r="K15" s="76">
        <v>0.94</v>
      </c>
      <c r="L15" s="76">
        <v>0.93</v>
      </c>
      <c r="M15" s="76">
        <v>0.92</v>
      </c>
      <c r="N15" s="76">
        <v>0.91</v>
      </c>
      <c r="O15" s="76">
        <v>0.9</v>
      </c>
      <c r="P15" s="77" t="s">
        <v>213</v>
      </c>
    </row>
    <row r="16" spans="1:16" x14ac:dyDescent="0.3">
      <c r="B16" s="23" t="s">
        <v>150</v>
      </c>
      <c r="C16" s="62"/>
      <c r="D16" s="76"/>
      <c r="E16" s="76"/>
      <c r="F16" s="76">
        <v>0</v>
      </c>
      <c r="G16" s="76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7" t="s">
        <v>214</v>
      </c>
    </row>
    <row r="17" spans="2:16" x14ac:dyDescent="0.3">
      <c r="B17" s="23" t="s">
        <v>4</v>
      </c>
      <c r="C17" s="23"/>
      <c r="D17" s="76"/>
      <c r="E17" s="76"/>
      <c r="F17" s="76">
        <v>1.2</v>
      </c>
      <c r="G17" s="76">
        <f>F17*1.2</f>
        <v>1.44</v>
      </c>
      <c r="H17" s="76">
        <f t="shared" ref="H17:O17" si="11">G17*1.2</f>
        <v>1.728</v>
      </c>
      <c r="I17" s="76">
        <f t="shared" si="11"/>
        <v>2.0735999999999999</v>
      </c>
      <c r="J17" s="76">
        <f t="shared" si="11"/>
        <v>2.4883199999999999</v>
      </c>
      <c r="K17" s="76">
        <f t="shared" si="11"/>
        <v>2.9859839999999997</v>
      </c>
      <c r="L17" s="76">
        <f t="shared" si="11"/>
        <v>3.5831807999999996</v>
      </c>
      <c r="M17" s="76">
        <f t="shared" si="11"/>
        <v>4.2998169599999994</v>
      </c>
      <c r="N17" s="76">
        <f t="shared" si="11"/>
        <v>5.1597803519999994</v>
      </c>
      <c r="O17" s="76">
        <f t="shared" si="11"/>
        <v>6.1917364223999991</v>
      </c>
      <c r="P17" s="163" t="s">
        <v>216</v>
      </c>
    </row>
    <row r="18" spans="2:16" x14ac:dyDescent="0.3">
      <c r="B18" s="23" t="s">
        <v>5</v>
      </c>
      <c r="C18" s="23"/>
      <c r="D18" s="76"/>
      <c r="E18" s="76"/>
      <c r="F18" s="76">
        <v>1.01</v>
      </c>
      <c r="G18" s="76">
        <f>F18*1.05</f>
        <v>1.0605</v>
      </c>
      <c r="H18" s="76">
        <f t="shared" ref="H18:O18" si="12">G18*1.05</f>
        <v>1.1135250000000001</v>
      </c>
      <c r="I18" s="76">
        <f t="shared" si="12"/>
        <v>1.1692012500000002</v>
      </c>
      <c r="J18" s="76">
        <f t="shared" si="12"/>
        <v>1.2276613125000002</v>
      </c>
      <c r="K18" s="76">
        <f t="shared" si="12"/>
        <v>1.2890443781250003</v>
      </c>
      <c r="L18" s="76">
        <f t="shared" si="12"/>
        <v>1.3534965970312502</v>
      </c>
      <c r="M18" s="76">
        <f t="shared" si="12"/>
        <v>1.4211714268828128</v>
      </c>
      <c r="N18" s="76">
        <f t="shared" si="12"/>
        <v>1.4922299982269536</v>
      </c>
      <c r="O18" s="76">
        <f t="shared" si="12"/>
        <v>1.5668414981383012</v>
      </c>
      <c r="P18" s="163" t="s">
        <v>217</v>
      </c>
    </row>
    <row r="19" spans="2:16" x14ac:dyDescent="0.3">
      <c r="B19" s="23" t="s">
        <v>193</v>
      </c>
      <c r="C19" s="23"/>
      <c r="D19" s="76"/>
      <c r="E19" s="76"/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7" t="s">
        <v>215</v>
      </c>
    </row>
    <row r="20" spans="2:16" x14ac:dyDescent="0.3">
      <c r="B20" s="23" t="s">
        <v>151</v>
      </c>
      <c r="C20" s="23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</row>
    <row r="22" spans="2:16" x14ac:dyDescent="0.3">
      <c r="B22" s="9" t="s">
        <v>208</v>
      </c>
      <c r="C22" s="162"/>
      <c r="D22" s="20">
        <v>1</v>
      </c>
      <c r="E22" s="20">
        <f>D22+1</f>
        <v>2</v>
      </c>
      <c r="F22" s="16">
        <f>E22+1</f>
        <v>3</v>
      </c>
      <c r="G22" s="16">
        <f>F22+1</f>
        <v>4</v>
      </c>
      <c r="H22" s="16">
        <f t="shared" ref="H22:O22" si="13">G22+1</f>
        <v>5</v>
      </c>
      <c r="I22" s="16">
        <f t="shared" si="13"/>
        <v>6</v>
      </c>
      <c r="J22" s="16">
        <f t="shared" si="13"/>
        <v>7</v>
      </c>
      <c r="K22" s="16">
        <f t="shared" si="13"/>
        <v>8</v>
      </c>
      <c r="L22" s="16">
        <f t="shared" si="13"/>
        <v>9</v>
      </c>
      <c r="M22" s="16">
        <f t="shared" si="13"/>
        <v>10</v>
      </c>
      <c r="N22" s="16">
        <f t="shared" si="13"/>
        <v>11</v>
      </c>
      <c r="O22" s="16">
        <f t="shared" si="13"/>
        <v>12</v>
      </c>
    </row>
    <row r="23" spans="2:16" x14ac:dyDescent="0.3">
      <c r="B23" s="23" t="s">
        <v>2</v>
      </c>
      <c r="C23" s="23"/>
      <c r="D23" s="76">
        <f>D4/D$11</f>
        <v>0.409051203991046</v>
      </c>
      <c r="E23" s="76">
        <f t="shared" ref="E23:O23" si="14">E4/E$11</f>
        <v>0.36143050715035585</v>
      </c>
      <c r="F23" s="76">
        <f t="shared" si="14"/>
        <v>0.4033519188520468</v>
      </c>
      <c r="G23" s="76">
        <f t="shared" si="14"/>
        <v>0.3991372235801311</v>
      </c>
      <c r="H23" s="76">
        <f t="shared" si="14"/>
        <v>0.39457591518767621</v>
      </c>
      <c r="I23" s="76">
        <f t="shared" si="14"/>
        <v>0.38963049515673515</v>
      </c>
      <c r="J23" s="76">
        <f t="shared" si="14"/>
        <v>0.38425942136005375</v>
      </c>
      <c r="K23" s="76">
        <f t="shared" si="14"/>
        <v>0.38068039741903953</v>
      </c>
      <c r="L23" s="76">
        <f t="shared" si="14"/>
        <v>0.3765899327276398</v>
      </c>
      <c r="M23" s="76">
        <f t="shared" si="14"/>
        <v>0.37193046869049673</v>
      </c>
      <c r="N23" s="76">
        <f t="shared" si="14"/>
        <v>0.366640315031181</v>
      </c>
      <c r="O23" s="76">
        <f t="shared" si="14"/>
        <v>0.36065459998703531</v>
      </c>
    </row>
    <row r="24" spans="2:16" x14ac:dyDescent="0.3">
      <c r="B24" s="23" t="s">
        <v>3</v>
      </c>
      <c r="C24" s="23"/>
      <c r="D24" s="76">
        <f t="shared" ref="D24:O29" si="15">D5/D$11</f>
        <v>0.28126269955045452</v>
      </c>
      <c r="E24" s="76">
        <f t="shared" si="15"/>
        <v>0.31034560153507029</v>
      </c>
      <c r="F24" s="76">
        <f t="shared" si="15"/>
        <v>0.34634180405360415</v>
      </c>
      <c r="G24" s="76">
        <f t="shared" si="15"/>
        <v>0.34272281751657241</v>
      </c>
      <c r="H24" s="76">
        <f t="shared" si="15"/>
        <v>0.33880620846216714</v>
      </c>
      <c r="I24" s="76">
        <f t="shared" si="15"/>
        <v>0.33455977844593299</v>
      </c>
      <c r="J24" s="76">
        <f t="shared" si="15"/>
        <v>0.32994785694140183</v>
      </c>
      <c r="K24" s="76">
        <f t="shared" si="15"/>
        <v>0.32343390912327252</v>
      </c>
      <c r="L24" s="76">
        <f t="shared" si="15"/>
        <v>0.31655475150983631</v>
      </c>
      <c r="M24" s="76">
        <f t="shared" si="15"/>
        <v>0.30927638961908765</v>
      </c>
      <c r="N24" s="76">
        <f t="shared" si="15"/>
        <v>0.30156351161784861</v>
      </c>
      <c r="O24" s="76">
        <f t="shared" si="15"/>
        <v>0.29338044799482554</v>
      </c>
    </row>
    <row r="25" spans="2:16" x14ac:dyDescent="0.3">
      <c r="B25" s="23" t="s">
        <v>150</v>
      </c>
      <c r="C25" s="62"/>
      <c r="D25" s="76">
        <f t="shared" si="15"/>
        <v>1.5252585782206864E-2</v>
      </c>
      <c r="E25" s="76">
        <f t="shared" si="15"/>
        <v>1.6832714578704767E-2</v>
      </c>
      <c r="F25" s="76">
        <f t="shared" si="15"/>
        <v>0</v>
      </c>
      <c r="G25" s="76">
        <f t="shared" si="15"/>
        <v>0</v>
      </c>
      <c r="H25" s="76">
        <f t="shared" si="15"/>
        <v>0</v>
      </c>
      <c r="I25" s="76">
        <f t="shared" si="15"/>
        <v>0</v>
      </c>
      <c r="J25" s="76">
        <f t="shared" si="15"/>
        <v>0</v>
      </c>
      <c r="K25" s="76">
        <f t="shared" si="15"/>
        <v>0</v>
      </c>
      <c r="L25" s="76">
        <f t="shared" si="15"/>
        <v>0</v>
      </c>
      <c r="M25" s="76">
        <f t="shared" si="15"/>
        <v>0</v>
      </c>
      <c r="N25" s="76">
        <f t="shared" si="15"/>
        <v>0</v>
      </c>
      <c r="O25" s="76">
        <f t="shared" si="15"/>
        <v>0</v>
      </c>
    </row>
    <row r="26" spans="2:16" x14ac:dyDescent="0.3">
      <c r="B26" s="23" t="s">
        <v>4</v>
      </c>
      <c r="C26" s="23"/>
      <c r="D26" s="76">
        <f t="shared" si="15"/>
        <v>8.419577557041806E-3</v>
      </c>
      <c r="E26" s="76">
        <f t="shared" si="15"/>
        <v>9.290172019921843E-3</v>
      </c>
      <c r="F26" s="76">
        <f t="shared" si="15"/>
        <v>1.2566928011410603E-2</v>
      </c>
      <c r="G26" s="76">
        <f t="shared" si="15"/>
        <v>1.5075009583623284E-2</v>
      </c>
      <c r="H26" s="76">
        <f t="shared" si="15"/>
        <v>1.806764400445518E-2</v>
      </c>
      <c r="I26" s="76">
        <f t="shared" si="15"/>
        <v>2.1632446585501886E-2</v>
      </c>
      <c r="J26" s="76">
        <f t="shared" si="15"/>
        <v>2.5870575976949698E-2</v>
      </c>
      <c r="K26" s="76">
        <f t="shared" si="15"/>
        <v>3.075553835845694E-2</v>
      </c>
      <c r="L26" s="76">
        <f t="shared" si="15"/>
        <v>3.6510078900640654E-2</v>
      </c>
      <c r="M26" s="76">
        <f t="shared" si="15"/>
        <v>4.3270017312745795E-2</v>
      </c>
      <c r="N26" s="76">
        <f t="shared" si="15"/>
        <v>5.1185479376742872E-2</v>
      </c>
      <c r="O26" s="76">
        <f t="shared" si="15"/>
        <v>6.0419799458858378E-2</v>
      </c>
    </row>
    <row r="27" spans="2:16" x14ac:dyDescent="0.3">
      <c r="B27" s="23" t="s">
        <v>5</v>
      </c>
      <c r="C27" s="23"/>
      <c r="D27" s="76">
        <f t="shared" si="15"/>
        <v>8.5416004201873397E-2</v>
      </c>
      <c r="E27" s="76">
        <f t="shared" si="15"/>
        <v>9.4248121941236093E-2</v>
      </c>
      <c r="F27" s="76">
        <f t="shared" si="15"/>
        <v>0.1073045664742427</v>
      </c>
      <c r="G27" s="76">
        <f t="shared" si="15"/>
        <v>0.1126301667109777</v>
      </c>
      <c r="H27" s="76">
        <f t="shared" si="15"/>
        <v>0.11811544973700573</v>
      </c>
      <c r="I27" s="76">
        <f t="shared" si="15"/>
        <v>0.12374249720313429</v>
      </c>
      <c r="J27" s="76">
        <f t="shared" si="15"/>
        <v>0.12948736311289899</v>
      </c>
      <c r="K27" s="76">
        <f t="shared" si="15"/>
        <v>0.13469537249053523</v>
      </c>
      <c r="L27" s="76">
        <f t="shared" si="15"/>
        <v>0.13991045425318757</v>
      </c>
      <c r="M27" s="76">
        <f t="shared" si="15"/>
        <v>0.14508834176897412</v>
      </c>
      <c r="N27" s="76">
        <f t="shared" si="15"/>
        <v>0.15017591136553182</v>
      </c>
      <c r="O27" s="76">
        <f t="shared" si="15"/>
        <v>0.15511036995058514</v>
      </c>
    </row>
    <row r="28" spans="2:16" x14ac:dyDescent="0.3">
      <c r="B28" s="23" t="s">
        <v>193</v>
      </c>
      <c r="C28" s="23"/>
      <c r="D28" s="76">
        <f t="shared" si="15"/>
        <v>7.0163146308681715E-2</v>
      </c>
      <c r="E28" s="76">
        <f>E9/E$11</f>
        <v>7.7418100166015358E-2</v>
      </c>
      <c r="F28" s="76">
        <f t="shared" si="15"/>
        <v>0</v>
      </c>
      <c r="G28" s="76">
        <f t="shared" si="15"/>
        <v>0</v>
      </c>
      <c r="H28" s="76">
        <f t="shared" si="15"/>
        <v>0</v>
      </c>
      <c r="I28" s="76">
        <f t="shared" si="15"/>
        <v>0</v>
      </c>
      <c r="J28" s="76">
        <f t="shared" si="15"/>
        <v>0</v>
      </c>
      <c r="K28" s="76">
        <f t="shared" si="15"/>
        <v>0</v>
      </c>
      <c r="L28" s="76">
        <f t="shared" si="15"/>
        <v>0</v>
      </c>
      <c r="M28" s="76">
        <f t="shared" si="15"/>
        <v>0</v>
      </c>
      <c r="N28" s="76">
        <f t="shared" si="15"/>
        <v>0</v>
      </c>
      <c r="O28" s="76">
        <f t="shared" si="15"/>
        <v>0</v>
      </c>
    </row>
    <row r="29" spans="2:16" x14ac:dyDescent="0.3">
      <c r="B29" s="23" t="s">
        <v>151</v>
      </c>
      <c r="C29" s="23"/>
      <c r="D29" s="76">
        <f t="shared" si="15"/>
        <v>0.13043478260869565</v>
      </c>
      <c r="E29" s="76">
        <f t="shared" si="15"/>
        <v>0.13043478260869565</v>
      </c>
      <c r="F29" s="76">
        <f t="shared" si="15"/>
        <v>0.13043478260869562</v>
      </c>
      <c r="G29" s="76">
        <f t="shared" si="15"/>
        <v>0.13043478260869565</v>
      </c>
      <c r="H29" s="76">
        <f t="shared" si="15"/>
        <v>0.13043478260869565</v>
      </c>
      <c r="I29" s="76">
        <f t="shared" si="15"/>
        <v>0.13043478260869565</v>
      </c>
      <c r="J29" s="76">
        <f t="shared" si="15"/>
        <v>0.13043478260869565</v>
      </c>
      <c r="K29" s="76">
        <f t="shared" si="15"/>
        <v>0.13043478260869562</v>
      </c>
      <c r="L29" s="76">
        <f t="shared" si="15"/>
        <v>0.13043478260869565</v>
      </c>
      <c r="M29" s="76">
        <f t="shared" si="15"/>
        <v>0.13043478260869565</v>
      </c>
      <c r="N29" s="76">
        <f t="shared" si="15"/>
        <v>0.13043478260869565</v>
      </c>
      <c r="O29" s="76">
        <f t="shared" si="15"/>
        <v>0.13043478260869565</v>
      </c>
    </row>
    <row r="30" spans="2:16" x14ac:dyDescent="0.3">
      <c r="B30" s="48" t="s">
        <v>1</v>
      </c>
      <c r="C30" s="23"/>
      <c r="D30" s="76">
        <f>SUM(D23:D29)</f>
        <v>1</v>
      </c>
      <c r="E30" s="76">
        <f t="shared" ref="E30:O30" si="16">SUM(E23:E29)</f>
        <v>0.99999999999999989</v>
      </c>
      <c r="F30" s="76">
        <f t="shared" si="16"/>
        <v>0.99999999999999978</v>
      </c>
      <c r="G30" s="76">
        <f t="shared" si="16"/>
        <v>1.0000000000000002</v>
      </c>
      <c r="H30" s="76">
        <f t="shared" si="16"/>
        <v>0.99999999999999989</v>
      </c>
      <c r="I30" s="76">
        <f t="shared" si="16"/>
        <v>1</v>
      </c>
      <c r="J30" s="76">
        <f t="shared" si="16"/>
        <v>1</v>
      </c>
      <c r="K30" s="76">
        <f t="shared" si="16"/>
        <v>0.99999999999999978</v>
      </c>
      <c r="L30" s="76">
        <f t="shared" si="16"/>
        <v>1</v>
      </c>
      <c r="M30" s="76">
        <f t="shared" si="16"/>
        <v>1</v>
      </c>
      <c r="N30" s="76">
        <f t="shared" si="16"/>
        <v>0.99999999999999989</v>
      </c>
      <c r="O30" s="76">
        <f t="shared" si="16"/>
        <v>1</v>
      </c>
    </row>
    <row r="32" spans="2:16" x14ac:dyDescent="0.3">
      <c r="B32" s="23" t="s">
        <v>226</v>
      </c>
      <c r="C32" s="23"/>
      <c r="D32" s="76">
        <f>D23+D24</f>
        <v>0.69031390354150046</v>
      </c>
      <c r="E32" s="76">
        <f t="shared" ref="E32:O32" si="17">E23+E24</f>
        <v>0.67177610868542614</v>
      </c>
      <c r="F32" s="76">
        <f t="shared" si="17"/>
        <v>0.74969372290565095</v>
      </c>
      <c r="G32" s="76">
        <f t="shared" si="17"/>
        <v>0.74186004109670356</v>
      </c>
      <c r="H32" s="76">
        <f t="shared" si="17"/>
        <v>0.73338212364984334</v>
      </c>
      <c r="I32" s="76">
        <f t="shared" si="17"/>
        <v>0.72419027360266819</v>
      </c>
      <c r="J32" s="76">
        <f t="shared" si="17"/>
        <v>0.71420727830145558</v>
      </c>
      <c r="K32" s="76">
        <f t="shared" si="17"/>
        <v>0.70411430654231211</v>
      </c>
      <c r="L32" s="76">
        <f t="shared" si="17"/>
        <v>0.69314468423747611</v>
      </c>
      <c r="M32" s="76">
        <f t="shared" si="17"/>
        <v>0.68120685830958438</v>
      </c>
      <c r="N32" s="76">
        <f t="shared" si="17"/>
        <v>0.66820382664902955</v>
      </c>
      <c r="O32" s="76">
        <f t="shared" si="17"/>
        <v>0.65403504798186085</v>
      </c>
    </row>
    <row r="33" spans="2:15" x14ac:dyDescent="0.3">
      <c r="B33" s="23" t="s">
        <v>227</v>
      </c>
      <c r="C33" s="23"/>
      <c r="D33" s="76">
        <f>D26+D27</f>
        <v>9.383558175891521E-2</v>
      </c>
      <c r="E33" s="76">
        <f t="shared" ref="E33:O33" si="18">E26+E27</f>
        <v>0.10353829396115793</v>
      </c>
      <c r="F33" s="76">
        <f t="shared" si="18"/>
        <v>0.1198714944856533</v>
      </c>
      <c r="G33" s="76">
        <f t="shared" si="18"/>
        <v>0.12770517629460099</v>
      </c>
      <c r="H33" s="76">
        <f t="shared" si="18"/>
        <v>0.13618309374146093</v>
      </c>
      <c r="I33" s="76">
        <f t="shared" si="18"/>
        <v>0.14537494378863619</v>
      </c>
      <c r="J33" s="76">
        <f t="shared" si="18"/>
        <v>0.15535793908984868</v>
      </c>
      <c r="K33" s="76">
        <f t="shared" si="18"/>
        <v>0.16545091084899216</v>
      </c>
      <c r="L33" s="76">
        <f t="shared" si="18"/>
        <v>0.17642053315382822</v>
      </c>
      <c r="M33" s="76">
        <f t="shared" si="18"/>
        <v>0.18835835908171991</v>
      </c>
      <c r="N33" s="76">
        <f t="shared" si="18"/>
        <v>0.20136139074227469</v>
      </c>
      <c r="O33" s="76">
        <f t="shared" si="18"/>
        <v>0.21553016940944353</v>
      </c>
    </row>
    <row r="34" spans="2:15" x14ac:dyDescent="0.3">
      <c r="B34" s="23" t="s">
        <v>18</v>
      </c>
      <c r="C34" s="23"/>
      <c r="D34" s="76">
        <f>1-SUM(D32:D33)</f>
        <v>0.21585051469958438</v>
      </c>
      <c r="E34" s="76">
        <f t="shared" ref="E34:O34" si="19">1-SUM(E32:E33)</f>
        <v>0.22468559735341587</v>
      </c>
      <c r="F34" s="76">
        <f t="shared" si="19"/>
        <v>0.13043478260869579</v>
      </c>
      <c r="G34" s="76">
        <f t="shared" si="19"/>
        <v>0.13043478260869545</v>
      </c>
      <c r="H34" s="76">
        <f t="shared" si="19"/>
        <v>0.13043478260869579</v>
      </c>
      <c r="I34" s="76">
        <f t="shared" si="19"/>
        <v>0.13043478260869557</v>
      </c>
      <c r="J34" s="76">
        <f t="shared" si="19"/>
        <v>0.13043478260869579</v>
      </c>
      <c r="K34" s="76">
        <f t="shared" si="19"/>
        <v>0.13043478260869579</v>
      </c>
      <c r="L34" s="76">
        <f t="shared" si="19"/>
        <v>0.13043478260869568</v>
      </c>
      <c r="M34" s="76">
        <f t="shared" si="19"/>
        <v>0.13043478260869568</v>
      </c>
      <c r="N34" s="76">
        <f t="shared" si="19"/>
        <v>0.13043478260869579</v>
      </c>
      <c r="O34" s="76">
        <f t="shared" si="19"/>
        <v>0.13043478260869557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B2436-CB7E-684F-B450-97AB784B2EFB}">
  <sheetPr>
    <tabColor theme="9"/>
  </sheetPr>
  <dimension ref="B2:P86"/>
  <sheetViews>
    <sheetView showGridLines="0" zoomScale="90" zoomScaleNormal="90" workbookViewId="0"/>
  </sheetViews>
  <sheetFormatPr defaultColWidth="11.19921875" defaultRowHeight="15.6" x14ac:dyDescent="0.3"/>
  <cols>
    <col min="1" max="1" width="4.5" customWidth="1"/>
    <col min="2" max="2" width="39.796875" customWidth="1"/>
    <col min="3" max="3" width="12.69921875" customWidth="1"/>
    <col min="4" max="5" width="14.69921875" bestFit="1" customWidth="1"/>
    <col min="6" max="15" width="12.19921875" bestFit="1" customWidth="1"/>
  </cols>
  <sheetData>
    <row r="2" spans="2:15" ht="18" x14ac:dyDescent="0.35">
      <c r="B2" s="8" t="s">
        <v>15</v>
      </c>
    </row>
    <row r="3" spans="2:15" x14ac:dyDescent="0.3">
      <c r="B3" s="9" t="s">
        <v>16</v>
      </c>
      <c r="C3" s="9"/>
      <c r="D3" s="20">
        <v>1</v>
      </c>
      <c r="E3" s="20">
        <f>D3+1</f>
        <v>2</v>
      </c>
      <c r="F3" s="16">
        <f>E3+1</f>
        <v>3</v>
      </c>
      <c r="G3" s="16">
        <f>F3+1</f>
        <v>4</v>
      </c>
      <c r="H3" s="16">
        <f t="shared" ref="H3:O3" si="0">G3+1</f>
        <v>5</v>
      </c>
      <c r="I3" s="16">
        <f t="shared" si="0"/>
        <v>6</v>
      </c>
      <c r="J3" s="16">
        <f t="shared" si="0"/>
        <v>7</v>
      </c>
      <c r="K3" s="16">
        <f t="shared" si="0"/>
        <v>8</v>
      </c>
      <c r="L3" s="16">
        <f t="shared" si="0"/>
        <v>9</v>
      </c>
      <c r="M3" s="16">
        <f t="shared" si="0"/>
        <v>10</v>
      </c>
      <c r="N3" s="16">
        <f t="shared" si="0"/>
        <v>11</v>
      </c>
      <c r="O3" s="16">
        <f t="shared" si="0"/>
        <v>12</v>
      </c>
    </row>
    <row r="4" spans="2:15" s="4" customFormat="1" x14ac:dyDescent="0.3">
      <c r="B4" s="4" t="s">
        <v>7</v>
      </c>
      <c r="D4" s="5">
        <f>Customers!C56*'Private Health Pricing'!D5</f>
        <v>10000</v>
      </c>
      <c r="E4" s="5">
        <f>Customers!D56*'Private Health Pricing'!D5</f>
        <v>20000</v>
      </c>
      <c r="F4" s="5">
        <f>'Channel Partners'!F25</f>
        <v>132300</v>
      </c>
      <c r="G4" s="5">
        <f>'Channel Partners'!G25</f>
        <v>300651.75</v>
      </c>
      <c r="H4" s="5">
        <f>'Channel Partners'!H25</f>
        <v>452113.42049999995</v>
      </c>
      <c r="I4" s="5">
        <f>'Channel Partners'!I25</f>
        <v>552050.73031499994</v>
      </c>
      <c r="J4" s="5">
        <f>'Channel Partners'!J25</f>
        <v>709010.33919344994</v>
      </c>
      <c r="K4" s="5">
        <f>'Channel Partners'!K25</f>
        <v>862101.50369502592</v>
      </c>
      <c r="L4" s="5">
        <f>'Channel Partners'!L25</f>
        <v>1032227.5020451653</v>
      </c>
      <c r="M4" s="5">
        <f>'Channel Partners'!M25</f>
        <v>1127655.8813158714</v>
      </c>
      <c r="N4" s="5">
        <f>'Channel Partners'!N25</f>
        <v>1296520.5764990845</v>
      </c>
      <c r="O4" s="5">
        <f>'Channel Partners'!O25</f>
        <v>1468649.7999978303</v>
      </c>
    </row>
    <row r="5" spans="2:15" s="4" customFormat="1" x14ac:dyDescent="0.3">
      <c r="B5" s="4" t="s">
        <v>8</v>
      </c>
      <c r="D5" s="5"/>
      <c r="E5" s="5"/>
      <c r="F5" s="5">
        <f>'Channel Partners'!F26</f>
        <v>79380</v>
      </c>
      <c r="G5" s="5">
        <f>'Channel Partners'!G26</f>
        <v>175925.92500000002</v>
      </c>
      <c r="H5" s="5">
        <f>'Channel Partners'!H26</f>
        <v>257905.42155000006</v>
      </c>
      <c r="I5" s="5">
        <f>'Channel Partners'!I26</f>
        <v>306876.84271649999</v>
      </c>
      <c r="J5" s="5">
        <f>'Channel Partners'!J26</f>
        <v>383908.19472589507</v>
      </c>
      <c r="K5" s="5">
        <f>'Channel Partners'!K26</f>
        <v>454498.64667447668</v>
      </c>
      <c r="L5" s="5">
        <f>'Channel Partners'!L26</f>
        <v>529602.74815935129</v>
      </c>
      <c r="M5" s="5">
        <f>'Channel Partners'!M26</f>
        <v>562787.20681571576</v>
      </c>
      <c r="N5" s="5">
        <f>'Channel Partners'!N26</f>
        <v>629103.98115082399</v>
      </c>
      <c r="O5" s="5">
        <f>'Channel Partners'!O26</f>
        <v>692482.6800019528</v>
      </c>
    </row>
    <row r="6" spans="2:15" s="4" customFormat="1" x14ac:dyDescent="0.3">
      <c r="B6" s="4" t="s">
        <v>9</v>
      </c>
      <c r="D6" s="5">
        <f>'Public Health Pricing'!C54</f>
        <v>25000</v>
      </c>
      <c r="E6" s="5">
        <f>'Public Health Pricing'!D54</f>
        <v>100000</v>
      </c>
      <c r="F6" s="5">
        <f>'Public Health Pricing'!E54</f>
        <v>160000</v>
      </c>
      <c r="G6" s="5">
        <f>'Public Health Pricing'!F54</f>
        <v>190000</v>
      </c>
      <c r="H6" s="5">
        <f>'Public Health Pricing'!G54</f>
        <v>220000</v>
      </c>
      <c r="I6" s="5">
        <f>'Public Health Pricing'!H54</f>
        <v>200000</v>
      </c>
      <c r="J6" s="5">
        <f>'Public Health Pricing'!I54</f>
        <v>180000</v>
      </c>
      <c r="K6" s="5">
        <f>'Public Health Pricing'!J54</f>
        <v>190000</v>
      </c>
      <c r="L6" s="5">
        <f>'Public Health Pricing'!K54</f>
        <v>200000</v>
      </c>
      <c r="M6" s="5">
        <f>'Public Health Pricing'!L54</f>
        <v>210000</v>
      </c>
      <c r="N6" s="5">
        <f>'Public Health Pricing'!M54</f>
        <v>220000</v>
      </c>
      <c r="O6" s="5">
        <f>'Public Health Pricing'!N54</f>
        <v>230000</v>
      </c>
    </row>
    <row r="7" spans="2:15" s="4" customFormat="1" x14ac:dyDescent="0.3">
      <c r="B7" s="4" t="s">
        <v>10</v>
      </c>
      <c r="F7" s="5">
        <v>5000</v>
      </c>
      <c r="G7" s="5">
        <v>10300</v>
      </c>
      <c r="H7" s="5">
        <v>15913.5</v>
      </c>
      <c r="I7" s="5">
        <v>21854.54</v>
      </c>
      <c r="J7" s="5">
        <v>28137.720250000002</v>
      </c>
      <c r="K7" s="5">
        <v>34778.222228999999</v>
      </c>
      <c r="L7" s="5">
        <v>41791.830378514998</v>
      </c>
      <c r="M7" s="5">
        <v>49194.954616994801</v>
      </c>
      <c r="N7" s="5">
        <v>57004.653662442724</v>
      </c>
      <c r="O7" s="5">
        <v>65238.659191462226</v>
      </c>
    </row>
    <row r="8" spans="2:15" s="4" customFormat="1" x14ac:dyDescent="0.3">
      <c r="B8" s="4" t="s">
        <v>11</v>
      </c>
      <c r="F8" s="5">
        <v>130000</v>
      </c>
      <c r="G8" s="5">
        <v>139780</v>
      </c>
      <c r="H8" s="5">
        <v>150463.16</v>
      </c>
      <c r="I8" s="5">
        <v>162107.59839999999</v>
      </c>
      <c r="J8" s="5">
        <v>174774.489784</v>
      </c>
      <c r="K8" s="5">
        <v>188528.20744220002</v>
      </c>
      <c r="L8" s="5">
        <v>203436.472037698</v>
      </c>
      <c r="M8" s="5">
        <v>219570.50666839787</v>
      </c>
      <c r="N8" s="5">
        <v>237005.19858466083</v>
      </c>
      <c r="O8" s="5">
        <v>255819.26783342968</v>
      </c>
    </row>
    <row r="9" spans="2:15" s="4" customFormat="1" x14ac:dyDescent="0.3">
      <c r="B9" s="4" t="s">
        <v>12</v>
      </c>
      <c r="F9" s="5">
        <v>26000</v>
      </c>
      <c r="G9" s="5">
        <v>30900</v>
      </c>
      <c r="H9" s="5">
        <v>36070.600000000006</v>
      </c>
      <c r="I9" s="5">
        <v>41523.626000000004</v>
      </c>
      <c r="J9" s="5">
        <v>47271.370020000002</v>
      </c>
      <c r="K9" s="5">
        <v>53326.607417800005</v>
      </c>
      <c r="L9" s="5">
        <v>59702.614826450008</v>
      </c>
      <c r="M9" s="5">
        <v>66413.188732942988</v>
      </c>
      <c r="N9" s="5">
        <v>73472.664720481742</v>
      </c>
      <c r="O9" s="5">
        <v>80895.937397413174</v>
      </c>
    </row>
    <row r="10" spans="2:15" s="4" customFormat="1" x14ac:dyDescent="0.3">
      <c r="B10" s="4" t="s">
        <v>13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</row>
    <row r="11" spans="2:15" s="4" customFormat="1" ht="16.2" thickBot="1" x14ac:dyDescent="0.35">
      <c r="B11" s="51" t="s">
        <v>14</v>
      </c>
      <c r="C11" s="51"/>
      <c r="D11" s="52">
        <f>SUM(D4:D10)</f>
        <v>35000</v>
      </c>
      <c r="E11" s="52">
        <f>SUM(E4:E10)</f>
        <v>120000</v>
      </c>
      <c r="F11" s="52">
        <f>SUM(F4:F10)</f>
        <v>532680</v>
      </c>
      <c r="G11" s="52">
        <f t="shared" ref="G11:O11" si="1">SUM(G4:G10)</f>
        <v>847557.67500000005</v>
      </c>
      <c r="H11" s="52">
        <f t="shared" si="1"/>
        <v>1132466.1020500001</v>
      </c>
      <c r="I11" s="52">
        <f t="shared" si="1"/>
        <v>1284413.3374315</v>
      </c>
      <c r="J11" s="52">
        <f t="shared" si="1"/>
        <v>1523102.1139733451</v>
      </c>
      <c r="K11" s="52">
        <f t="shared" si="1"/>
        <v>1783233.1874585026</v>
      </c>
      <c r="L11" s="52">
        <f t="shared" si="1"/>
        <v>2066761.1674471796</v>
      </c>
      <c r="M11" s="52">
        <f t="shared" si="1"/>
        <v>2235621.7381499228</v>
      </c>
      <c r="N11" s="52">
        <f t="shared" si="1"/>
        <v>2513107.0746174939</v>
      </c>
      <c r="O11" s="52">
        <f t="shared" si="1"/>
        <v>2793086.344422088</v>
      </c>
    </row>
    <row r="12" spans="2:15" s="4" customFormat="1" ht="16.2" thickTop="1" x14ac:dyDescent="0.3"/>
    <row r="13" spans="2:15" s="4" customFormat="1" x14ac:dyDescent="0.3">
      <c r="B13" s="4" t="s">
        <v>7</v>
      </c>
      <c r="D13" s="6">
        <f>D4/D$11</f>
        <v>0.2857142857142857</v>
      </c>
      <c r="E13" s="6">
        <f>E4/E$11</f>
        <v>0.16666666666666666</v>
      </c>
      <c r="F13" s="6">
        <f>F4/F$11</f>
        <v>0.24836674926785313</v>
      </c>
      <c r="G13" s="6">
        <f t="shared" ref="G13:O13" si="2">G4/G$11</f>
        <v>0.3547271871498302</v>
      </c>
      <c r="H13" s="6">
        <f t="shared" si="2"/>
        <v>0.39922909805563295</v>
      </c>
      <c r="I13" s="6">
        <f t="shared" si="2"/>
        <v>0.42980769058266011</v>
      </c>
      <c r="J13" s="6">
        <f t="shared" si="2"/>
        <v>0.46550413966916593</v>
      </c>
      <c r="K13" s="6">
        <f t="shared" si="2"/>
        <v>0.48344855275137022</v>
      </c>
      <c r="L13" s="6">
        <f t="shared" si="2"/>
        <v>0.49944208276380153</v>
      </c>
      <c r="M13" s="6">
        <f t="shared" si="2"/>
        <v>0.5044037021437523</v>
      </c>
      <c r="N13" s="6">
        <f t="shared" si="2"/>
        <v>0.51590343666372462</v>
      </c>
      <c r="O13" s="6">
        <f t="shared" si="2"/>
        <v>0.52581611124582173</v>
      </c>
    </row>
    <row r="14" spans="2:15" s="4" customFormat="1" x14ac:dyDescent="0.3">
      <c r="B14" s="4" t="s">
        <v>8</v>
      </c>
      <c r="D14" s="6">
        <f>D5/D$11</f>
        <v>0</v>
      </c>
      <c r="E14" s="6">
        <f>E5/E$11</f>
        <v>0</v>
      </c>
      <c r="F14" s="6">
        <f t="shared" ref="F14:O19" si="3">F5/F$11</f>
        <v>0.14902004956071188</v>
      </c>
      <c r="G14" s="6">
        <f t="shared" si="3"/>
        <v>0.20756808673816801</v>
      </c>
      <c r="H14" s="6">
        <f t="shared" si="3"/>
        <v>0.22773787319826827</v>
      </c>
      <c r="I14" s="6">
        <f t="shared" si="3"/>
        <v>0.23892374345020087</v>
      </c>
      <c r="J14" s="6">
        <f t="shared" si="3"/>
        <v>0.25205676704392888</v>
      </c>
      <c r="K14" s="6">
        <f t="shared" si="3"/>
        <v>0.25487336702287189</v>
      </c>
      <c r="L14" s="6">
        <f t="shared" si="3"/>
        <v>0.25624767704219331</v>
      </c>
      <c r="M14" s="6">
        <f t="shared" si="3"/>
        <v>0.25173632784651995</v>
      </c>
      <c r="N14" s="6">
        <f t="shared" si="3"/>
        <v>0.25032915927252181</v>
      </c>
      <c r="O14" s="6">
        <f t="shared" si="3"/>
        <v>0.24792741598728951</v>
      </c>
    </row>
    <row r="15" spans="2:15" s="4" customFormat="1" x14ac:dyDescent="0.3">
      <c r="B15" s="4" t="s">
        <v>9</v>
      </c>
      <c r="D15" s="6">
        <f t="shared" ref="D15:E15" si="4">D6/D$11</f>
        <v>0.7142857142857143</v>
      </c>
      <c r="E15" s="6">
        <f t="shared" si="4"/>
        <v>0.83333333333333337</v>
      </c>
      <c r="F15" s="6">
        <f t="shared" si="3"/>
        <v>0.30036795073965605</v>
      </c>
      <c r="G15" s="6">
        <f t="shared" si="3"/>
        <v>0.22417353485708214</v>
      </c>
      <c r="H15" s="6">
        <f t="shared" si="3"/>
        <v>0.19426630042325688</v>
      </c>
      <c r="I15" s="6">
        <f t="shared" si="3"/>
        <v>0.15571311366164192</v>
      </c>
      <c r="J15" s="6">
        <f t="shared" si="3"/>
        <v>0.11817986354863011</v>
      </c>
      <c r="K15" s="6">
        <f t="shared" si="3"/>
        <v>0.10654803944670387</v>
      </c>
      <c r="L15" s="6">
        <f t="shared" si="3"/>
        <v>9.676976863612928E-2</v>
      </c>
      <c r="M15" s="6">
        <f t="shared" si="3"/>
        <v>9.3933600848676843E-2</v>
      </c>
      <c r="N15" s="6">
        <f t="shared" si="3"/>
        <v>8.7541037237136021E-2</v>
      </c>
      <c r="O15" s="6">
        <f t="shared" si="3"/>
        <v>8.234618326759563E-2</v>
      </c>
    </row>
    <row r="16" spans="2:15" s="4" customFormat="1" x14ac:dyDescent="0.3">
      <c r="B16" s="4" t="s">
        <v>10</v>
      </c>
      <c r="D16" s="6">
        <f t="shared" ref="D16:E16" si="5">D7/D$11</f>
        <v>0</v>
      </c>
      <c r="E16" s="6">
        <f t="shared" si="5"/>
        <v>0</v>
      </c>
      <c r="F16" s="6">
        <f t="shared" si="3"/>
        <v>9.3864984606142517E-3</v>
      </c>
      <c r="G16" s="6">
        <f t="shared" si="3"/>
        <v>1.2152565310673399E-2</v>
      </c>
      <c r="H16" s="6">
        <f t="shared" si="3"/>
        <v>1.4052076235388629E-2</v>
      </c>
      <c r="I16" s="6">
        <f t="shared" si="3"/>
        <v>1.7015192355214502E-2</v>
      </c>
      <c r="J16" s="6">
        <f t="shared" si="3"/>
        <v>1.8473955220636259E-2</v>
      </c>
      <c r="K16" s="6">
        <f t="shared" si="3"/>
        <v>1.9502902073377501E-2</v>
      </c>
      <c r="L16" s="6">
        <f t="shared" si="3"/>
        <v>2.0220928783046276E-2</v>
      </c>
      <c r="M16" s="6">
        <f t="shared" si="3"/>
        <v>2.2005043956007438E-2</v>
      </c>
      <c r="N16" s="6">
        <f t="shared" si="3"/>
        <v>2.2682938677063367E-2</v>
      </c>
      <c r="O16" s="6">
        <f t="shared" si="3"/>
        <v>2.3357193851792874E-2</v>
      </c>
    </row>
    <row r="17" spans="2:15" s="4" customFormat="1" x14ac:dyDescent="0.3">
      <c r="B17" s="4" t="s">
        <v>11</v>
      </c>
      <c r="D17" s="6">
        <f t="shared" ref="D17:E17" si="6">D8/D$11</f>
        <v>0</v>
      </c>
      <c r="E17" s="6">
        <f t="shared" si="6"/>
        <v>0</v>
      </c>
      <c r="F17" s="6">
        <f t="shared" si="3"/>
        <v>0.24404895997597056</v>
      </c>
      <c r="G17" s="6">
        <f t="shared" si="3"/>
        <v>0.16492093001222599</v>
      </c>
      <c r="H17" s="6">
        <f t="shared" si="3"/>
        <v>0.13286327928723896</v>
      </c>
      <c r="I17" s="6">
        <f t="shared" si="3"/>
        <v>0.12621139447537499</v>
      </c>
      <c r="J17" s="6">
        <f t="shared" si="3"/>
        <v>0.11474902974696982</v>
      </c>
      <c r="K17" s="6">
        <f t="shared" si="3"/>
        <v>0.10572268885983103</v>
      </c>
      <c r="L17" s="6">
        <f t="shared" si="3"/>
        <v>9.8432501656192092E-2</v>
      </c>
      <c r="M17" s="6">
        <f t="shared" si="3"/>
        <v>9.8214515864433444E-2</v>
      </c>
      <c r="N17" s="6">
        <f t="shared" si="3"/>
        <v>9.4307640521339137E-2</v>
      </c>
      <c r="O17" s="6">
        <f t="shared" si="3"/>
        <v>9.1590175271277094E-2</v>
      </c>
    </row>
    <row r="18" spans="2:15" s="4" customFormat="1" x14ac:dyDescent="0.3">
      <c r="B18" s="4" t="s">
        <v>12</v>
      </c>
      <c r="D18" s="6">
        <f t="shared" ref="D18:E18" si="7">D9/D$11</f>
        <v>0</v>
      </c>
      <c r="E18" s="6">
        <f t="shared" si="7"/>
        <v>0</v>
      </c>
      <c r="F18" s="6">
        <f t="shared" si="3"/>
        <v>4.8809791995194113E-2</v>
      </c>
      <c r="G18" s="6">
        <f t="shared" si="3"/>
        <v>3.6457695932020202E-2</v>
      </c>
      <c r="H18" s="6">
        <f t="shared" si="3"/>
        <v>3.1851372800214231E-2</v>
      </c>
      <c r="I18" s="6">
        <f t="shared" si="3"/>
        <v>3.2328865474907556E-2</v>
      </c>
      <c r="J18" s="6">
        <f t="shared" si="3"/>
        <v>3.1036244770668915E-2</v>
      </c>
      <c r="K18" s="6">
        <f t="shared" si="3"/>
        <v>2.9904449845845504E-2</v>
      </c>
      <c r="L18" s="6">
        <f t="shared" si="3"/>
        <v>2.8887041118637543E-2</v>
      </c>
      <c r="M18" s="6">
        <f t="shared" si="3"/>
        <v>2.9706809340610044E-2</v>
      </c>
      <c r="N18" s="6">
        <f t="shared" si="3"/>
        <v>2.923578762821501E-2</v>
      </c>
      <c r="O18" s="6">
        <f t="shared" si="3"/>
        <v>2.8962920376223167E-2</v>
      </c>
    </row>
    <row r="19" spans="2:15" s="4" customFormat="1" x14ac:dyDescent="0.3">
      <c r="B19" s="4" t="s">
        <v>13</v>
      </c>
      <c r="D19" s="6">
        <f t="shared" ref="D19:E19" si="8">D10/D$11</f>
        <v>0</v>
      </c>
      <c r="E19" s="6">
        <f t="shared" si="8"/>
        <v>0</v>
      </c>
      <c r="F19" s="6">
        <f t="shared" si="3"/>
        <v>0</v>
      </c>
      <c r="G19" s="6">
        <f t="shared" si="3"/>
        <v>0</v>
      </c>
      <c r="H19" s="6">
        <f t="shared" si="3"/>
        <v>0</v>
      </c>
      <c r="I19" s="6">
        <f t="shared" si="3"/>
        <v>0</v>
      </c>
      <c r="J19" s="6">
        <f t="shared" si="3"/>
        <v>0</v>
      </c>
      <c r="K19" s="6">
        <f t="shared" si="3"/>
        <v>0</v>
      </c>
      <c r="L19" s="6">
        <f t="shared" si="3"/>
        <v>0</v>
      </c>
      <c r="M19" s="6">
        <f t="shared" si="3"/>
        <v>0</v>
      </c>
      <c r="N19" s="6">
        <f t="shared" si="3"/>
        <v>0</v>
      </c>
      <c r="O19" s="6">
        <f t="shared" si="3"/>
        <v>0</v>
      </c>
    </row>
    <row r="20" spans="2:15" s="4" customFormat="1" x14ac:dyDescent="0.3"/>
    <row r="21" spans="2:15" s="4" customFormat="1" x14ac:dyDescent="0.3">
      <c r="B21" s="4" t="s">
        <v>17</v>
      </c>
      <c r="D21" s="7">
        <f t="shared" ref="D21:E21" si="9">SUM(D13:D15,D19)</f>
        <v>1</v>
      </c>
      <c r="E21" s="7">
        <f t="shared" si="9"/>
        <v>1</v>
      </c>
      <c r="F21" s="7">
        <f>SUM(F13:F15,F19)</f>
        <v>0.69775474956822103</v>
      </c>
      <c r="G21" s="7">
        <f t="shared" ref="G21:O21" si="10">SUM(G13:G15,G19)</f>
        <v>0.78646880874508041</v>
      </c>
      <c r="H21" s="7">
        <f t="shared" si="10"/>
        <v>0.82123327167715809</v>
      </c>
      <c r="I21" s="7">
        <f t="shared" si="10"/>
        <v>0.82444454769450282</v>
      </c>
      <c r="J21" s="7">
        <f t="shared" si="10"/>
        <v>0.83574077026172489</v>
      </c>
      <c r="K21" s="7">
        <f t="shared" si="10"/>
        <v>0.84486995922094599</v>
      </c>
      <c r="L21" s="7">
        <f t="shared" si="10"/>
        <v>0.85245952844212414</v>
      </c>
      <c r="M21" s="7">
        <f t="shared" si="10"/>
        <v>0.85007363083894916</v>
      </c>
      <c r="N21" s="7">
        <f t="shared" si="10"/>
        <v>0.8537736331733824</v>
      </c>
      <c r="O21" s="7">
        <f t="shared" si="10"/>
        <v>0.85608971050070681</v>
      </c>
    </row>
    <row r="22" spans="2:15" s="4" customFormat="1" x14ac:dyDescent="0.3">
      <c r="B22" s="4" t="s">
        <v>18</v>
      </c>
      <c r="D22" s="7">
        <f t="shared" ref="D22:E22" si="11">1-D21</f>
        <v>0</v>
      </c>
      <c r="E22" s="7">
        <f t="shared" si="11"/>
        <v>0</v>
      </c>
      <c r="F22" s="7">
        <f>1-F21</f>
        <v>0.30224525043177897</v>
      </c>
      <c r="G22" s="7">
        <f t="shared" ref="G22:O22" si="12">1-G21</f>
        <v>0.21353119125491959</v>
      </c>
      <c r="H22" s="7">
        <f t="shared" si="12"/>
        <v>0.17876672832284191</v>
      </c>
      <c r="I22" s="7">
        <f t="shared" si="12"/>
        <v>0.17555545230549718</v>
      </c>
      <c r="J22" s="7">
        <f t="shared" si="12"/>
        <v>0.16425922973827511</v>
      </c>
      <c r="K22" s="7">
        <f t="shared" si="12"/>
        <v>0.15513004077905401</v>
      </c>
      <c r="L22" s="7">
        <f t="shared" si="12"/>
        <v>0.14754047155787586</v>
      </c>
      <c r="M22" s="7">
        <f t="shared" si="12"/>
        <v>0.14992636916105084</v>
      </c>
      <c r="N22" s="7">
        <f t="shared" si="12"/>
        <v>0.1462263668266176</v>
      </c>
      <c r="O22" s="7">
        <f t="shared" si="12"/>
        <v>0.14391028949929319</v>
      </c>
    </row>
    <row r="23" spans="2:15" s="4" customFormat="1" x14ac:dyDescent="0.3">
      <c r="F23" s="7"/>
      <c r="G23" s="7"/>
      <c r="H23" s="7"/>
      <c r="I23" s="7"/>
      <c r="J23" s="7"/>
      <c r="K23" s="7"/>
      <c r="L23" s="7"/>
      <c r="M23" s="7"/>
      <c r="N23" s="7"/>
      <c r="O23" s="7"/>
    </row>
    <row r="25" spans="2:15" ht="18" x14ac:dyDescent="0.35">
      <c r="B25" s="8" t="s">
        <v>19</v>
      </c>
    </row>
    <row r="26" spans="2:15" x14ac:dyDescent="0.3">
      <c r="B26" s="9" t="s">
        <v>16</v>
      </c>
      <c r="C26" s="9"/>
      <c r="D26" s="20">
        <v>1</v>
      </c>
      <c r="E26" s="20">
        <f>D26+1</f>
        <v>2</v>
      </c>
      <c r="F26" s="16">
        <f>E26+1</f>
        <v>3</v>
      </c>
      <c r="G26" s="16">
        <f>F26+1</f>
        <v>4</v>
      </c>
      <c r="H26" s="16">
        <f t="shared" ref="H26:O26" si="13">G26+1</f>
        <v>5</v>
      </c>
      <c r="I26" s="16">
        <f t="shared" si="13"/>
        <v>6</v>
      </c>
      <c r="J26" s="16">
        <f t="shared" si="13"/>
        <v>7</v>
      </c>
      <c r="K26" s="16">
        <f t="shared" si="13"/>
        <v>8</v>
      </c>
      <c r="L26" s="16">
        <f t="shared" si="13"/>
        <v>9</v>
      </c>
      <c r="M26" s="16">
        <f t="shared" si="13"/>
        <v>10</v>
      </c>
      <c r="N26" s="16">
        <f t="shared" si="13"/>
        <v>11</v>
      </c>
      <c r="O26" s="16">
        <f t="shared" si="13"/>
        <v>12</v>
      </c>
    </row>
    <row r="27" spans="2:15" x14ac:dyDescent="0.3">
      <c r="B27" t="s">
        <v>2</v>
      </c>
      <c r="D27" s="1">
        <f>'Total Costs'!D4</f>
        <v>670450.1</v>
      </c>
      <c r="E27" s="1">
        <f>'Total Costs'!E4</f>
        <v>536883.6</v>
      </c>
      <c r="F27" s="1">
        <f>'Total Costs'!F4</f>
        <v>531514.76399999997</v>
      </c>
      <c r="G27" s="1">
        <f>'Total Costs'!G4</f>
        <v>526145.92799999996</v>
      </c>
      <c r="H27" s="1">
        <f>'Total Costs'!H4</f>
        <v>520777.09199999995</v>
      </c>
      <c r="I27" s="1">
        <f>'Total Costs'!I4</f>
        <v>515408.25599999994</v>
      </c>
      <c r="J27" s="1">
        <f>'Total Costs'!J4</f>
        <v>510039.41999999993</v>
      </c>
      <c r="K27" s="1">
        <f>'Total Costs'!K4</f>
        <v>510039.41999999993</v>
      </c>
      <c r="L27" s="1">
        <f>'Total Costs'!L4</f>
        <v>510039.41999999993</v>
      </c>
      <c r="M27" s="1">
        <f>'Total Costs'!M4</f>
        <v>510039.41999999993</v>
      </c>
      <c r="N27" s="1">
        <f>'Total Costs'!N4</f>
        <v>510039.41999999993</v>
      </c>
      <c r="O27" s="1">
        <f>'Total Costs'!O4</f>
        <v>510039.41999999993</v>
      </c>
    </row>
    <row r="28" spans="2:15" x14ac:dyDescent="0.3">
      <c r="B28" t="s">
        <v>3</v>
      </c>
      <c r="D28" s="1">
        <f>'Total Costs'!D5</f>
        <v>461000</v>
      </c>
      <c r="E28" s="1">
        <f>'Total Costs'!E5</f>
        <v>461000</v>
      </c>
      <c r="F28" s="1">
        <f>'Total Costs'!F5</f>
        <v>456390</v>
      </c>
      <c r="G28" s="1">
        <f>'Total Costs'!G5</f>
        <v>451780</v>
      </c>
      <c r="H28" s="1">
        <f>'Total Costs'!H5</f>
        <v>447170</v>
      </c>
      <c r="I28" s="1">
        <f>'Total Costs'!I5</f>
        <v>442560</v>
      </c>
      <c r="J28" s="1">
        <f>'Total Costs'!J5</f>
        <v>437950</v>
      </c>
      <c r="K28" s="1">
        <f>'Total Costs'!K5</f>
        <v>433340</v>
      </c>
      <c r="L28" s="1">
        <f>'Total Costs'!L5</f>
        <v>428730</v>
      </c>
      <c r="M28" s="1">
        <f>'Total Costs'!M5</f>
        <v>424120</v>
      </c>
      <c r="N28" s="1">
        <f>'Total Costs'!N5</f>
        <v>419510</v>
      </c>
      <c r="O28" s="1">
        <f>'Total Costs'!O5</f>
        <v>414900</v>
      </c>
    </row>
    <row r="29" spans="2:15" x14ac:dyDescent="0.3">
      <c r="B29" s="2" t="s">
        <v>150</v>
      </c>
      <c r="D29" s="1">
        <f>'Total Costs'!D6</f>
        <v>24999.554</v>
      </c>
      <c r="E29" s="1">
        <f>'Total Costs'!E6</f>
        <v>25004</v>
      </c>
      <c r="F29" s="1">
        <f>'Total Costs'!F6</f>
        <v>0</v>
      </c>
      <c r="G29" s="1">
        <f>'Total Costs'!G6</f>
        <v>0</v>
      </c>
      <c r="H29" s="1">
        <f>'Total Costs'!H6</f>
        <v>0</v>
      </c>
      <c r="I29" s="1">
        <f>'Total Costs'!I6</f>
        <v>0</v>
      </c>
      <c r="J29" s="1">
        <f>'Total Costs'!J6</f>
        <v>0</v>
      </c>
      <c r="K29" s="1">
        <f>'Total Costs'!K6</f>
        <v>0</v>
      </c>
      <c r="L29" s="1">
        <f>'Total Costs'!L6</f>
        <v>0</v>
      </c>
      <c r="M29" s="1">
        <f>'Total Costs'!M6</f>
        <v>0</v>
      </c>
      <c r="N29" s="1">
        <f>'Total Costs'!N6</f>
        <v>0</v>
      </c>
      <c r="O29" s="1">
        <f>'Total Costs'!O6</f>
        <v>0</v>
      </c>
    </row>
    <row r="30" spans="2:15" x14ac:dyDescent="0.3">
      <c r="B30" s="2" t="s">
        <v>4</v>
      </c>
      <c r="D30" s="1">
        <f>'Total Costs'!D7</f>
        <v>13800</v>
      </c>
      <c r="E30" s="1">
        <f>'Total Costs'!E7</f>
        <v>13800</v>
      </c>
      <c r="F30" s="1">
        <f>'Total Costs'!F7</f>
        <v>16560</v>
      </c>
      <c r="G30" s="1">
        <f>'Total Costs'!G7</f>
        <v>19872</v>
      </c>
      <c r="H30" s="1">
        <f>'Total Costs'!H7</f>
        <v>23846.400000000001</v>
      </c>
      <c r="I30" s="1">
        <f>'Total Costs'!I7</f>
        <v>28615.679999999997</v>
      </c>
      <c r="J30" s="1">
        <f>'Total Costs'!J7</f>
        <v>34338.815999999999</v>
      </c>
      <c r="K30" s="1">
        <f>'Total Costs'!K7</f>
        <v>41206.5792</v>
      </c>
      <c r="L30" s="1">
        <f>'Total Costs'!L7</f>
        <v>49447.895039999996</v>
      </c>
      <c r="M30" s="1">
        <f>'Total Costs'!M7</f>
        <v>59337.474047999989</v>
      </c>
      <c r="N30" s="1">
        <f>'Total Costs'!N7</f>
        <v>71204.96885759999</v>
      </c>
      <c r="O30" s="1">
        <f>'Total Costs'!O7</f>
        <v>85445.962629119982</v>
      </c>
    </row>
    <row r="31" spans="2:15" x14ac:dyDescent="0.3">
      <c r="B31" s="2" t="s">
        <v>5</v>
      </c>
      <c r="D31" s="1">
        <f>'Total Costs'!D8</f>
        <v>140000</v>
      </c>
      <c r="E31" s="1">
        <f>'Total Costs'!E8</f>
        <v>140000</v>
      </c>
      <c r="F31" s="1">
        <f>'Total Costs'!F8</f>
        <v>141400</v>
      </c>
      <c r="G31" s="1">
        <f>'Total Costs'!G8</f>
        <v>148470</v>
      </c>
      <c r="H31" s="1">
        <f>'Total Costs'!H8</f>
        <v>155893.5</v>
      </c>
      <c r="I31" s="1">
        <f>'Total Costs'!I8</f>
        <v>163688.17500000002</v>
      </c>
      <c r="J31" s="1">
        <f>'Total Costs'!J8</f>
        <v>171872.58375000002</v>
      </c>
      <c r="K31" s="1">
        <f>'Total Costs'!K8</f>
        <v>180466.21293750004</v>
      </c>
      <c r="L31" s="1">
        <f>'Total Costs'!L8</f>
        <v>189489.52358437504</v>
      </c>
      <c r="M31" s="1">
        <f>'Total Costs'!M8</f>
        <v>198963.99976359381</v>
      </c>
      <c r="N31" s="1">
        <f>'Total Costs'!N8</f>
        <v>208912.1997517735</v>
      </c>
      <c r="O31" s="1">
        <f>'Total Costs'!O8</f>
        <v>219357.80973936216</v>
      </c>
    </row>
    <row r="32" spans="2:15" x14ac:dyDescent="0.3">
      <c r="B32" s="2" t="s">
        <v>6</v>
      </c>
      <c r="D32" s="1">
        <f>'Total Costs'!D9</f>
        <v>114999.99999999999</v>
      </c>
      <c r="E32" s="1">
        <f>'Total Costs'!E9</f>
        <v>114999.99999999999</v>
      </c>
      <c r="F32" s="1">
        <f>'Total Costs'!F9</f>
        <v>0</v>
      </c>
      <c r="G32" s="1">
        <f>'Total Costs'!G9</f>
        <v>0</v>
      </c>
      <c r="H32" s="1">
        <f>'Total Costs'!H9</f>
        <v>0</v>
      </c>
      <c r="I32" s="1">
        <f>'Total Costs'!I9</f>
        <v>0</v>
      </c>
      <c r="J32" s="1">
        <f>'Total Costs'!J9</f>
        <v>0</v>
      </c>
      <c r="K32" s="1">
        <f>'Total Costs'!K9</f>
        <v>0</v>
      </c>
      <c r="L32" s="1">
        <f>'Total Costs'!L9</f>
        <v>0</v>
      </c>
      <c r="M32" s="1">
        <f>'Total Costs'!M9</f>
        <v>0</v>
      </c>
      <c r="N32" s="1">
        <f>'Total Costs'!N9</f>
        <v>0</v>
      </c>
      <c r="O32" s="1">
        <f>'Total Costs'!O9</f>
        <v>0</v>
      </c>
    </row>
    <row r="33" spans="2:15" x14ac:dyDescent="0.3">
      <c r="B33" s="2" t="s">
        <v>151</v>
      </c>
      <c r="D33" s="1">
        <f>SUM(D27:D32)*0.15</f>
        <v>213787.44810000001</v>
      </c>
      <c r="E33" s="1">
        <f t="shared" ref="E33" si="14">SUM(E27:E32)*0.15</f>
        <v>193753.14</v>
      </c>
      <c r="F33" s="1">
        <f t="shared" ref="F33" si="15">SUM(F27:F32)*0.15</f>
        <v>171879.71459999998</v>
      </c>
      <c r="G33" s="1">
        <f t="shared" ref="G33" si="16">SUM(G27:G32)*0.15</f>
        <v>171940.18919999996</v>
      </c>
      <c r="H33" s="1">
        <f t="shared" ref="H33" si="17">SUM(H27:H32)*0.15</f>
        <v>172153.04880000002</v>
      </c>
      <c r="I33" s="1">
        <f t="shared" ref="I33" si="18">SUM(I27:I32)*0.15</f>
        <v>172540.81664999999</v>
      </c>
      <c r="J33" s="1">
        <f t="shared" ref="J33" si="19">SUM(J27:J32)*0.15</f>
        <v>173130.1229625</v>
      </c>
      <c r="K33" s="1">
        <f t="shared" ref="K33" si="20">SUM(K27:K32)*0.15</f>
        <v>174757.831820625</v>
      </c>
      <c r="L33" s="1">
        <f t="shared" ref="L33" si="21">SUM(L27:L32)*0.15</f>
        <v>176656.02579365624</v>
      </c>
      <c r="M33" s="1">
        <f t="shared" ref="M33" si="22">SUM(M27:M32)*0.15</f>
        <v>178869.13407173907</v>
      </c>
      <c r="N33" s="1">
        <f t="shared" ref="N33" si="23">SUM(N27:N32)*0.15</f>
        <v>181449.98829140601</v>
      </c>
      <c r="O33" s="1">
        <f t="shared" ref="O33" si="24">SUM(O27:O32)*0.15</f>
        <v>184461.47885527229</v>
      </c>
    </row>
    <row r="34" spans="2:15" x14ac:dyDescent="0.3">
      <c r="B34" t="s">
        <v>10</v>
      </c>
      <c r="D34" s="1"/>
      <c r="E34" s="1"/>
      <c r="F34" s="1">
        <v>250</v>
      </c>
      <c r="G34" s="1">
        <v>515</v>
      </c>
      <c r="H34" s="1">
        <v>795.67500000000007</v>
      </c>
      <c r="I34" s="1">
        <v>1092.7270000000001</v>
      </c>
      <c r="J34" s="1">
        <v>1406.8860125000001</v>
      </c>
      <c r="K34" s="1">
        <v>1738.9111114500001</v>
      </c>
      <c r="L34" s="1">
        <v>2089.5915189257498</v>
      </c>
      <c r="M34" s="1">
        <v>2459.74773084974</v>
      </c>
      <c r="N34" s="1">
        <v>2850.2326831221367</v>
      </c>
      <c r="O34" s="1">
        <v>3261.9329595731119</v>
      </c>
    </row>
    <row r="35" spans="2:15" x14ac:dyDescent="0.3">
      <c r="B35" t="s">
        <v>11</v>
      </c>
      <c r="D35" s="1"/>
      <c r="E35" s="1"/>
      <c r="F35" s="1">
        <v>90000</v>
      </c>
      <c r="G35" s="1">
        <v>97335</v>
      </c>
      <c r="H35" s="1">
        <v>105347.37</v>
      </c>
      <c r="I35" s="1">
        <v>114080.6988</v>
      </c>
      <c r="J35" s="1">
        <v>123580.86733800001</v>
      </c>
      <c r="K35" s="1">
        <v>133896.15558165</v>
      </c>
      <c r="L35" s="1">
        <v>145077.35402827352</v>
      </c>
      <c r="M35" s="1">
        <v>157177.88000129838</v>
      </c>
      <c r="N35" s="1">
        <v>170253.89893849561</v>
      </c>
      <c r="O35" s="1">
        <v>184364.45087507227</v>
      </c>
    </row>
    <row r="36" spans="2:15" x14ac:dyDescent="0.3">
      <c r="B36" t="s">
        <v>12</v>
      </c>
      <c r="D36" s="1"/>
      <c r="E36" s="1"/>
      <c r="F36" s="1">
        <v>10400</v>
      </c>
      <c r="G36" s="1">
        <v>12360</v>
      </c>
      <c r="H36" s="1">
        <v>14428.240000000002</v>
      </c>
      <c r="I36" s="1">
        <v>16609.450400000002</v>
      </c>
      <c r="J36" s="1">
        <v>18908.548007999998</v>
      </c>
      <c r="K36" s="1">
        <v>21330.642967120002</v>
      </c>
      <c r="L36" s="1">
        <v>23881.045930580003</v>
      </c>
      <c r="M36" s="1">
        <v>26565.275493177192</v>
      </c>
      <c r="N36" s="1">
        <v>29389.065888192697</v>
      </c>
      <c r="O36" s="1">
        <v>32358.374958965269</v>
      </c>
    </row>
    <row r="37" spans="2:15" x14ac:dyDescent="0.3">
      <c r="B37" t="s">
        <v>13</v>
      </c>
      <c r="D37" s="1"/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</row>
    <row r="38" spans="2:15" ht="16.2" thickBot="1" x14ac:dyDescent="0.35">
      <c r="B38" s="53" t="s">
        <v>14</v>
      </c>
      <c r="C38" s="53"/>
      <c r="D38" s="138">
        <f t="shared" ref="D38:O38" si="25">SUM(D27:D37)</f>
        <v>1639037.1021</v>
      </c>
      <c r="E38" s="138">
        <f t="shared" si="25"/>
        <v>1485440.7400000002</v>
      </c>
      <c r="F38" s="138">
        <f t="shared" si="25"/>
        <v>1418394.4786</v>
      </c>
      <c r="G38" s="138">
        <f t="shared" si="25"/>
        <v>1428418.1171999997</v>
      </c>
      <c r="H38" s="138">
        <f t="shared" si="25"/>
        <v>1440411.3258</v>
      </c>
      <c r="I38" s="138">
        <f t="shared" si="25"/>
        <v>1454595.8038499998</v>
      </c>
      <c r="J38" s="138">
        <f t="shared" si="25"/>
        <v>1471227.244071</v>
      </c>
      <c r="K38" s="138">
        <f t="shared" si="25"/>
        <v>1496775.7536183454</v>
      </c>
      <c r="L38" s="138">
        <f t="shared" si="25"/>
        <v>1525410.8558958105</v>
      </c>
      <c r="M38" s="138">
        <f t="shared" si="25"/>
        <v>1557532.9311086582</v>
      </c>
      <c r="N38" s="138">
        <f t="shared" si="25"/>
        <v>1593609.7744105901</v>
      </c>
      <c r="O38" s="138">
        <f t="shared" si="25"/>
        <v>1634189.4300173649</v>
      </c>
    </row>
    <row r="39" spans="2:15" ht="16.2" thickTop="1" x14ac:dyDescent="0.3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2:15" ht="16.2" thickBot="1" x14ac:dyDescent="0.35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2:15" s="37" customFormat="1" ht="16.2" thickBot="1" x14ac:dyDescent="0.35">
      <c r="B41" s="38" t="s">
        <v>42</v>
      </c>
      <c r="C41" s="39"/>
      <c r="D41" s="139">
        <f t="shared" ref="D41:O41" si="26">-D38+D11</f>
        <v>-1604037.1021</v>
      </c>
      <c r="E41" s="139">
        <f t="shared" si="26"/>
        <v>-1365440.7400000002</v>
      </c>
      <c r="F41" s="139">
        <f t="shared" si="26"/>
        <v>-885714.47860000003</v>
      </c>
      <c r="G41" s="139">
        <f t="shared" si="26"/>
        <v>-580860.4421999997</v>
      </c>
      <c r="H41" s="139">
        <f t="shared" si="26"/>
        <v>-307945.22374999989</v>
      </c>
      <c r="I41" s="139">
        <f t="shared" si="26"/>
        <v>-170182.46641849983</v>
      </c>
      <c r="J41" s="139">
        <f t="shared" si="26"/>
        <v>51874.869902345119</v>
      </c>
      <c r="K41" s="139">
        <f t="shared" si="26"/>
        <v>286457.43384015723</v>
      </c>
      <c r="L41" s="139">
        <f t="shared" si="26"/>
        <v>541350.31155136903</v>
      </c>
      <c r="M41" s="139">
        <f t="shared" si="26"/>
        <v>678088.8070412646</v>
      </c>
      <c r="N41" s="139">
        <f t="shared" si="26"/>
        <v>919497.30020690383</v>
      </c>
      <c r="O41" s="140">
        <f t="shared" si="26"/>
        <v>1158896.9144047231</v>
      </c>
    </row>
    <row r="45" spans="2:15" ht="18" x14ac:dyDescent="0.35">
      <c r="B45" s="8" t="s">
        <v>47</v>
      </c>
    </row>
    <row r="46" spans="2:15" x14ac:dyDescent="0.3">
      <c r="B46" s="9" t="s">
        <v>16</v>
      </c>
      <c r="C46" s="9"/>
      <c r="D46" s="20">
        <v>1</v>
      </c>
      <c r="E46" s="20">
        <f>D46+1</f>
        <v>2</v>
      </c>
      <c r="F46" s="16">
        <f>E46+1</f>
        <v>3</v>
      </c>
      <c r="G46" s="16">
        <f>F46+1</f>
        <v>4</v>
      </c>
      <c r="H46" s="16">
        <f t="shared" ref="H46:O46" si="27">G46+1</f>
        <v>5</v>
      </c>
      <c r="I46" s="16">
        <f t="shared" si="27"/>
        <v>6</v>
      </c>
      <c r="J46" s="16">
        <f t="shared" si="27"/>
        <v>7</v>
      </c>
      <c r="K46" s="16">
        <f t="shared" si="27"/>
        <v>8</v>
      </c>
      <c r="L46" s="16">
        <f t="shared" si="27"/>
        <v>9</v>
      </c>
      <c r="M46" s="16">
        <f t="shared" si="27"/>
        <v>10</v>
      </c>
      <c r="N46" s="16">
        <f t="shared" si="27"/>
        <v>11</v>
      </c>
      <c r="O46" s="16">
        <f t="shared" si="27"/>
        <v>12</v>
      </c>
    </row>
    <row r="47" spans="2:15" x14ac:dyDescent="0.3">
      <c r="D47" s="3">
        <f>D41</f>
        <v>-1604037.1021</v>
      </c>
      <c r="E47" s="3">
        <f t="shared" ref="E47:O47" si="28">E41</f>
        <v>-1365440.7400000002</v>
      </c>
      <c r="F47" s="3">
        <f t="shared" si="28"/>
        <v>-885714.47860000003</v>
      </c>
      <c r="G47" s="3">
        <f t="shared" si="28"/>
        <v>-580860.4421999997</v>
      </c>
      <c r="H47" s="3">
        <f t="shared" si="28"/>
        <v>-307945.22374999989</v>
      </c>
      <c r="I47" s="3">
        <f t="shared" si="28"/>
        <v>-170182.46641849983</v>
      </c>
      <c r="J47" s="3">
        <f t="shared" si="28"/>
        <v>51874.869902345119</v>
      </c>
      <c r="K47" s="3">
        <f t="shared" si="28"/>
        <v>286457.43384015723</v>
      </c>
      <c r="L47" s="3">
        <f t="shared" si="28"/>
        <v>541350.31155136903</v>
      </c>
      <c r="M47" s="3">
        <f t="shared" si="28"/>
        <v>678088.8070412646</v>
      </c>
      <c r="N47" s="3">
        <f t="shared" si="28"/>
        <v>919497.30020690383</v>
      </c>
      <c r="O47" s="3">
        <f t="shared" si="28"/>
        <v>1158896.9144047231</v>
      </c>
    </row>
    <row r="48" spans="2:15" x14ac:dyDescent="0.3">
      <c r="D48">
        <f>IF(D47&gt;0,1,0)</f>
        <v>0</v>
      </c>
      <c r="E48">
        <f t="shared" ref="E48:O48" si="29">IF(E47&gt;0,1,0)</f>
        <v>0</v>
      </c>
      <c r="F48">
        <f t="shared" si="29"/>
        <v>0</v>
      </c>
      <c r="G48">
        <f t="shared" si="29"/>
        <v>0</v>
      </c>
      <c r="H48">
        <f t="shared" si="29"/>
        <v>0</v>
      </c>
      <c r="I48">
        <f t="shared" si="29"/>
        <v>0</v>
      </c>
      <c r="J48">
        <f>IF(J47&gt;0,1,0)</f>
        <v>1</v>
      </c>
      <c r="K48">
        <f t="shared" si="29"/>
        <v>1</v>
      </c>
      <c r="L48">
        <f t="shared" si="29"/>
        <v>1</v>
      </c>
      <c r="M48">
        <f t="shared" si="29"/>
        <v>1</v>
      </c>
      <c r="N48">
        <f t="shared" si="29"/>
        <v>1</v>
      </c>
      <c r="O48">
        <f t="shared" si="29"/>
        <v>1</v>
      </c>
    </row>
    <row r="49" spans="2:16" x14ac:dyDescent="0.3">
      <c r="D49" s="1">
        <f>IF(D48=1,(D47-C47),0)</f>
        <v>0</v>
      </c>
      <c r="E49" s="1">
        <f>IF(E48=1,(E47-D47),0)</f>
        <v>0</v>
      </c>
      <c r="F49" s="1">
        <f t="shared" ref="F49:O49" si="30">IF(F48=1,(F47-E47),0)</f>
        <v>0</v>
      </c>
      <c r="G49" s="1">
        <f t="shared" si="30"/>
        <v>0</v>
      </c>
      <c r="H49" s="1">
        <f t="shared" si="30"/>
        <v>0</v>
      </c>
      <c r="I49" s="1">
        <f t="shared" si="30"/>
        <v>0</v>
      </c>
      <c r="J49" s="1">
        <f>IF(J48=1,(J47-I47),0)</f>
        <v>222057.33632084494</v>
      </c>
      <c r="K49" s="1">
        <f t="shared" si="30"/>
        <v>234582.56393781211</v>
      </c>
      <c r="L49" s="1">
        <f t="shared" si="30"/>
        <v>254892.8777112118</v>
      </c>
      <c r="M49" s="1">
        <f t="shared" si="30"/>
        <v>136738.49548989558</v>
      </c>
      <c r="N49" s="1">
        <f t="shared" si="30"/>
        <v>241408.49316563923</v>
      </c>
      <c r="O49" s="1">
        <f t="shared" si="30"/>
        <v>239399.61419781926</v>
      </c>
    </row>
    <row r="50" spans="2:16" x14ac:dyDescent="0.3">
      <c r="D50" s="13">
        <f>IF(AND(C49=0,D48=1),1,0)</f>
        <v>0</v>
      </c>
      <c r="E50" s="13">
        <f t="shared" ref="E50:N50" si="31">IF(AND(D49=0,E48=1),1,0)</f>
        <v>0</v>
      </c>
      <c r="F50" s="13">
        <f t="shared" si="31"/>
        <v>0</v>
      </c>
      <c r="G50" s="13">
        <f t="shared" si="31"/>
        <v>0</v>
      </c>
      <c r="H50" s="13">
        <f t="shared" si="31"/>
        <v>0</v>
      </c>
      <c r="I50" s="13">
        <f>IF(AND(H49=0,I48=1),1,0)</f>
        <v>0</v>
      </c>
      <c r="J50" s="13">
        <f>IF(AND(I49=0,J48=1),1,0)</f>
        <v>1</v>
      </c>
      <c r="K50" s="13">
        <f t="shared" si="31"/>
        <v>0</v>
      </c>
      <c r="L50" s="13">
        <f t="shared" si="31"/>
        <v>0</v>
      </c>
      <c r="M50" s="13">
        <f t="shared" si="31"/>
        <v>0</v>
      </c>
      <c r="N50" s="13">
        <f t="shared" si="31"/>
        <v>0</v>
      </c>
    </row>
    <row r="51" spans="2:16" x14ac:dyDescent="0.3">
      <c r="F51" s="11"/>
      <c r="G51" s="11"/>
      <c r="H51" s="12">
        <f t="shared" ref="H51:I51" si="32">IF(H50=1,(-G47/H49)+G46,0)</f>
        <v>0</v>
      </c>
      <c r="I51" s="12">
        <f t="shared" si="32"/>
        <v>0</v>
      </c>
      <c r="J51" s="12">
        <f>IF(J50=1,(-I47/J49)+I46,0)</f>
        <v>6.7663897497743895</v>
      </c>
      <c r="K51" s="12">
        <f t="shared" ref="K51:O51" si="33">IF(K50=1,(-J47/K49)+J46,0)</f>
        <v>0</v>
      </c>
      <c r="L51" s="12">
        <f t="shared" si="33"/>
        <v>0</v>
      </c>
      <c r="M51" s="12">
        <f t="shared" si="33"/>
        <v>0</v>
      </c>
      <c r="N51" s="12">
        <f t="shared" si="33"/>
        <v>0</v>
      </c>
      <c r="O51" s="12">
        <f t="shared" si="33"/>
        <v>0</v>
      </c>
      <c r="P51" s="11"/>
    </row>
    <row r="52" spans="2:16" ht="16.2" thickBot="1" x14ac:dyDescent="0.35"/>
    <row r="53" spans="2:16" ht="16.2" thickBot="1" x14ac:dyDescent="0.35">
      <c r="B53" s="38" t="s">
        <v>48</v>
      </c>
      <c r="C53" s="39"/>
      <c r="D53" s="50">
        <f>SUM(F51:P51)</f>
        <v>6.7663897497743895</v>
      </c>
      <c r="L53" s="3"/>
    </row>
    <row r="54" spans="2:16" ht="16.2" thickBot="1" x14ac:dyDescent="0.35">
      <c r="B54" s="38" t="s">
        <v>192</v>
      </c>
      <c r="C54" s="39"/>
      <c r="D54" s="50">
        <f>D53-D55</f>
        <v>4.7663897497743895</v>
      </c>
    </row>
    <row r="55" spans="2:16" x14ac:dyDescent="0.3">
      <c r="B55" t="s">
        <v>210</v>
      </c>
      <c r="D55" s="144">
        <v>2</v>
      </c>
    </row>
    <row r="58" spans="2:16" x14ac:dyDescent="0.3">
      <c r="B58" s="9" t="s">
        <v>16</v>
      </c>
      <c r="C58" s="9"/>
      <c r="D58" s="20">
        <v>1</v>
      </c>
      <c r="E58" s="20">
        <f>D58+1</f>
        <v>2</v>
      </c>
      <c r="F58" s="16">
        <f>E58+1</f>
        <v>3</v>
      </c>
      <c r="G58" s="16">
        <f>F58+1</f>
        <v>4</v>
      </c>
      <c r="H58" s="16">
        <f t="shared" ref="H58:O58" si="34">G58+1</f>
        <v>5</v>
      </c>
      <c r="I58" s="16">
        <f t="shared" si="34"/>
        <v>6</v>
      </c>
      <c r="J58" s="16">
        <f t="shared" si="34"/>
        <v>7</v>
      </c>
      <c r="K58" s="16">
        <f t="shared" si="34"/>
        <v>8</v>
      </c>
      <c r="L58" s="16">
        <f t="shared" si="34"/>
        <v>9</v>
      </c>
      <c r="M58" s="16">
        <f t="shared" si="34"/>
        <v>10</v>
      </c>
      <c r="N58" s="16">
        <f t="shared" si="34"/>
        <v>11</v>
      </c>
      <c r="O58" s="16">
        <f t="shared" si="34"/>
        <v>12</v>
      </c>
    </row>
    <row r="59" spans="2:16" x14ac:dyDescent="0.3">
      <c r="B59" t="s">
        <v>15</v>
      </c>
      <c r="D59" s="3"/>
      <c r="E59" s="3"/>
      <c r="F59" s="3">
        <f t="shared" ref="F59:O59" si="35">F11</f>
        <v>532680</v>
      </c>
      <c r="G59" s="3">
        <f t="shared" si="35"/>
        <v>847557.67500000005</v>
      </c>
      <c r="H59" s="3">
        <f t="shared" si="35"/>
        <v>1132466.1020500001</v>
      </c>
      <c r="I59" s="3">
        <f t="shared" si="35"/>
        <v>1284413.3374315</v>
      </c>
      <c r="J59" s="3">
        <f t="shared" si="35"/>
        <v>1523102.1139733451</v>
      </c>
      <c r="K59" s="3">
        <f t="shared" si="35"/>
        <v>1783233.1874585026</v>
      </c>
      <c r="L59" s="3">
        <f t="shared" si="35"/>
        <v>2066761.1674471796</v>
      </c>
      <c r="M59" s="3">
        <f t="shared" si="35"/>
        <v>2235621.7381499228</v>
      </c>
      <c r="N59" s="3">
        <f t="shared" si="35"/>
        <v>2513107.0746174939</v>
      </c>
      <c r="O59" s="3">
        <f t="shared" si="35"/>
        <v>2793086.344422088</v>
      </c>
    </row>
    <row r="60" spans="2:16" x14ac:dyDescent="0.3">
      <c r="B60" t="s">
        <v>19</v>
      </c>
      <c r="D60" s="3"/>
      <c r="E60" s="3"/>
      <c r="F60" s="3">
        <f>-F38</f>
        <v>-1418394.4786</v>
      </c>
      <c r="G60" s="3">
        <f t="shared" ref="G60:O60" si="36">-G38</f>
        <v>-1428418.1171999997</v>
      </c>
      <c r="H60" s="3">
        <f t="shared" si="36"/>
        <v>-1440411.3258</v>
      </c>
      <c r="I60" s="3">
        <f t="shared" si="36"/>
        <v>-1454595.8038499998</v>
      </c>
      <c r="J60" s="3">
        <f t="shared" si="36"/>
        <v>-1471227.244071</v>
      </c>
      <c r="K60" s="3">
        <f t="shared" si="36"/>
        <v>-1496775.7536183454</v>
      </c>
      <c r="L60" s="3">
        <f t="shared" si="36"/>
        <v>-1525410.8558958105</v>
      </c>
      <c r="M60" s="3">
        <f t="shared" si="36"/>
        <v>-1557532.9311086582</v>
      </c>
      <c r="N60" s="3">
        <f t="shared" si="36"/>
        <v>-1593609.7744105901</v>
      </c>
      <c r="O60" s="3">
        <f t="shared" si="36"/>
        <v>-1634189.4300173649</v>
      </c>
    </row>
    <row r="61" spans="2:16" x14ac:dyDescent="0.3">
      <c r="B61" t="s">
        <v>198</v>
      </c>
      <c r="D61" s="3">
        <f>D38</f>
        <v>1639037.1021</v>
      </c>
      <c r="E61" s="3">
        <f>E38</f>
        <v>1485440.7400000002</v>
      </c>
    </row>
    <row r="62" spans="2:16" x14ac:dyDescent="0.3">
      <c r="B62" t="s">
        <v>199</v>
      </c>
      <c r="E62" s="3">
        <f>SUM(F38:H38)</f>
        <v>4287223.9216</v>
      </c>
    </row>
    <row r="85" spans="5:11" x14ac:dyDescent="0.3">
      <c r="E85" s="3"/>
      <c r="F85" s="3"/>
      <c r="G85" s="3"/>
      <c r="H85" s="3"/>
      <c r="I85" s="3"/>
      <c r="J85" s="3"/>
      <c r="K85" s="3"/>
    </row>
    <row r="86" spans="5:11" x14ac:dyDescent="0.3">
      <c r="F86" s="3"/>
      <c r="G86" s="3"/>
      <c r="H86" s="3"/>
      <c r="I86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A865D-11C6-F043-BBBC-796A65F4C7BE}">
  <sheetPr>
    <tabColor theme="5"/>
  </sheetPr>
  <dimension ref="B2:O54"/>
  <sheetViews>
    <sheetView showGridLines="0" zoomScale="90" zoomScaleNormal="90" workbookViewId="0"/>
  </sheetViews>
  <sheetFormatPr defaultColWidth="11.19921875" defaultRowHeight="15.6" x14ac:dyDescent="0.3"/>
  <cols>
    <col min="1" max="1" width="3.19921875" customWidth="1"/>
    <col min="2" max="2" width="33.796875" customWidth="1"/>
    <col min="3" max="3" width="25.69921875" customWidth="1"/>
    <col min="4" max="4" width="12.5" customWidth="1"/>
  </cols>
  <sheetData>
    <row r="2" spans="2:15" s="4" customFormat="1" ht="21" x14ac:dyDescent="0.4">
      <c r="B2" s="14" t="s">
        <v>34</v>
      </c>
      <c r="D2" s="22"/>
      <c r="E2" s="22"/>
    </row>
    <row r="3" spans="2:15" s="4" customFormat="1" ht="21" x14ac:dyDescent="0.4">
      <c r="B3" s="14"/>
      <c r="D3" s="22"/>
      <c r="E3" s="22"/>
    </row>
    <row r="4" spans="2:15" s="4" customFormat="1" x14ac:dyDescent="0.3">
      <c r="B4" s="26"/>
      <c r="C4" s="10"/>
      <c r="D4" s="10"/>
      <c r="E4" s="10"/>
    </row>
    <row r="5" spans="2:15" s="4" customFormat="1" x14ac:dyDescent="0.3">
      <c r="B5" s="26"/>
      <c r="C5" s="27" t="s">
        <v>35</v>
      </c>
      <c r="D5" s="28" t="s">
        <v>36</v>
      </c>
      <c r="E5" s="28" t="s">
        <v>37</v>
      </c>
    </row>
    <row r="6" spans="2:15" s="4" customFormat="1" ht="31.2" x14ac:dyDescent="0.3">
      <c r="B6" s="31" t="s">
        <v>40</v>
      </c>
      <c r="C6" s="27" t="s">
        <v>38</v>
      </c>
      <c r="D6" s="29">
        <v>25000</v>
      </c>
      <c r="E6" s="29">
        <v>10000</v>
      </c>
    </row>
    <row r="7" spans="2:15" s="4" customFormat="1" x14ac:dyDescent="0.3">
      <c r="B7" s="30">
        <v>0.25</v>
      </c>
      <c r="C7" s="27" t="s">
        <v>39</v>
      </c>
      <c r="D7" s="86">
        <f>D6*(1+B7)</f>
        <v>31250</v>
      </c>
      <c r="E7" s="86">
        <f>E6*(1+B7)</f>
        <v>12500</v>
      </c>
      <c r="F7" s="33" t="s">
        <v>191</v>
      </c>
    </row>
    <row r="8" spans="2:15" s="4" customFormat="1" x14ac:dyDescent="0.3"/>
    <row r="9" spans="2:15" s="4" customFormat="1" x14ac:dyDescent="0.3"/>
    <row r="10" spans="2:15" s="4" customFormat="1" ht="21" x14ac:dyDescent="0.4">
      <c r="B10" s="15" t="s">
        <v>41</v>
      </c>
      <c r="C10" s="15"/>
      <c r="D10" s="15"/>
    </row>
    <row r="11" spans="2:15" s="4" customFormat="1" x14ac:dyDescent="0.3">
      <c r="B11" s="16" t="s">
        <v>16</v>
      </c>
      <c r="C11" s="20">
        <v>1</v>
      </c>
      <c r="D11" s="20">
        <f>C11+1</f>
        <v>2</v>
      </c>
      <c r="E11" s="16">
        <f>D11+1</f>
        <v>3</v>
      </c>
      <c r="F11" s="16">
        <f>E11+1</f>
        <v>4</v>
      </c>
      <c r="G11" s="16">
        <f t="shared" ref="G11:N11" si="0">F11+1</f>
        <v>5</v>
      </c>
      <c r="H11" s="16">
        <f t="shared" si="0"/>
        <v>6</v>
      </c>
      <c r="I11" s="16">
        <f t="shared" si="0"/>
        <v>7</v>
      </c>
      <c r="J11" s="16">
        <f t="shared" si="0"/>
        <v>8</v>
      </c>
      <c r="K11" s="16">
        <f t="shared" si="0"/>
        <v>9</v>
      </c>
      <c r="L11" s="16">
        <f t="shared" si="0"/>
        <v>10</v>
      </c>
      <c r="M11" s="16">
        <f t="shared" si="0"/>
        <v>11</v>
      </c>
      <c r="N11" s="16">
        <f t="shared" si="0"/>
        <v>12</v>
      </c>
    </row>
    <row r="12" spans="2:15" s="4" customFormat="1" x14ac:dyDescent="0.3">
      <c r="B12" s="82" t="s">
        <v>98</v>
      </c>
      <c r="C12" s="83">
        <f>C13</f>
        <v>1</v>
      </c>
      <c r="D12" s="83">
        <f t="shared" ref="D12:N12" si="1">D13+C12</f>
        <v>4</v>
      </c>
      <c r="E12" s="83">
        <f t="shared" si="1"/>
        <v>7</v>
      </c>
      <c r="F12" s="83">
        <f t="shared" si="1"/>
        <v>10</v>
      </c>
      <c r="G12" s="83">
        <f t="shared" si="1"/>
        <v>13</v>
      </c>
      <c r="H12" s="83">
        <f t="shared" si="1"/>
        <v>14</v>
      </c>
      <c r="I12" s="83">
        <f t="shared" si="1"/>
        <v>15</v>
      </c>
      <c r="J12" s="83">
        <f t="shared" si="1"/>
        <v>16</v>
      </c>
      <c r="K12" s="83">
        <f t="shared" si="1"/>
        <v>17</v>
      </c>
      <c r="L12" s="83">
        <f t="shared" si="1"/>
        <v>18</v>
      </c>
      <c r="M12" s="83">
        <f t="shared" si="1"/>
        <v>19</v>
      </c>
      <c r="N12" s="83">
        <f t="shared" si="1"/>
        <v>20</v>
      </c>
    </row>
    <row r="13" spans="2:15" s="4" customFormat="1" x14ac:dyDescent="0.3">
      <c r="B13" s="17" t="s">
        <v>97</v>
      </c>
      <c r="C13" s="81">
        <f t="shared" ref="C13:N13" si="2">C15+C14</f>
        <v>1</v>
      </c>
      <c r="D13" s="81">
        <f t="shared" si="2"/>
        <v>3</v>
      </c>
      <c r="E13" s="81">
        <f t="shared" si="2"/>
        <v>3</v>
      </c>
      <c r="F13" s="81">
        <f t="shared" si="2"/>
        <v>3</v>
      </c>
      <c r="G13" s="81">
        <f t="shared" si="2"/>
        <v>3</v>
      </c>
      <c r="H13" s="81">
        <f t="shared" si="2"/>
        <v>1</v>
      </c>
      <c r="I13" s="81">
        <f t="shared" si="2"/>
        <v>1</v>
      </c>
      <c r="J13" s="81">
        <f t="shared" si="2"/>
        <v>1</v>
      </c>
      <c r="K13" s="81">
        <f t="shared" si="2"/>
        <v>1</v>
      </c>
      <c r="L13" s="81">
        <f t="shared" si="2"/>
        <v>1</v>
      </c>
      <c r="M13" s="81">
        <f t="shared" si="2"/>
        <v>1</v>
      </c>
      <c r="N13" s="81">
        <f t="shared" si="2"/>
        <v>1</v>
      </c>
    </row>
    <row r="14" spans="2:15" s="4" customFormat="1" x14ac:dyDescent="0.3">
      <c r="B14" s="17" t="s">
        <v>96</v>
      </c>
      <c r="C14" s="80">
        <v>1</v>
      </c>
      <c r="D14" s="80">
        <f>C14</f>
        <v>1</v>
      </c>
      <c r="E14" s="80">
        <f t="shared" ref="E14:N14" si="3">D14</f>
        <v>1</v>
      </c>
      <c r="F14" s="80">
        <f t="shared" si="3"/>
        <v>1</v>
      </c>
      <c r="G14" s="80">
        <f t="shared" si="3"/>
        <v>1</v>
      </c>
      <c r="H14" s="80">
        <f t="shared" si="3"/>
        <v>1</v>
      </c>
      <c r="I14" s="80">
        <f t="shared" si="3"/>
        <v>1</v>
      </c>
      <c r="J14" s="80">
        <f t="shared" si="3"/>
        <v>1</v>
      </c>
      <c r="K14" s="80">
        <f t="shared" si="3"/>
        <v>1</v>
      </c>
      <c r="L14" s="80">
        <f t="shared" si="3"/>
        <v>1</v>
      </c>
      <c r="M14" s="80">
        <f t="shared" si="3"/>
        <v>1</v>
      </c>
      <c r="N14" s="80">
        <f t="shared" si="3"/>
        <v>1</v>
      </c>
      <c r="O14" s="33" t="s">
        <v>112</v>
      </c>
    </row>
    <row r="15" spans="2:15" s="4" customFormat="1" ht="31.2" x14ac:dyDescent="0.3">
      <c r="B15" s="17" t="s">
        <v>95</v>
      </c>
      <c r="C15" s="80">
        <v>0</v>
      </c>
      <c r="D15" s="80">
        <v>2</v>
      </c>
      <c r="E15" s="80">
        <f t="shared" ref="E15:G15" si="4">D15</f>
        <v>2</v>
      </c>
      <c r="F15" s="80">
        <f t="shared" si="4"/>
        <v>2</v>
      </c>
      <c r="G15" s="80">
        <f t="shared" si="4"/>
        <v>2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33" t="s">
        <v>111</v>
      </c>
    </row>
    <row r="16" spans="2:15" s="4" customFormat="1" x14ac:dyDescent="0.3">
      <c r="B16" s="17" t="s">
        <v>94</v>
      </c>
      <c r="C16" s="80">
        <v>10</v>
      </c>
      <c r="D16" s="18">
        <f t="shared" ref="D16:N16" si="5">C16-D15</f>
        <v>8</v>
      </c>
      <c r="E16" s="18">
        <f t="shared" si="5"/>
        <v>6</v>
      </c>
      <c r="F16" s="18">
        <f t="shared" si="5"/>
        <v>4</v>
      </c>
      <c r="G16" s="18">
        <f t="shared" si="5"/>
        <v>2</v>
      </c>
      <c r="H16" s="18">
        <f t="shared" si="5"/>
        <v>2</v>
      </c>
      <c r="I16" s="18">
        <f t="shared" si="5"/>
        <v>2</v>
      </c>
      <c r="J16" s="18">
        <f t="shared" si="5"/>
        <v>2</v>
      </c>
      <c r="K16" s="18">
        <f t="shared" si="5"/>
        <v>2</v>
      </c>
      <c r="L16" s="18">
        <f t="shared" si="5"/>
        <v>2</v>
      </c>
      <c r="M16" s="18">
        <f t="shared" si="5"/>
        <v>2</v>
      </c>
      <c r="N16" s="18">
        <f t="shared" si="5"/>
        <v>2</v>
      </c>
      <c r="O16" s="33" t="s">
        <v>234</v>
      </c>
    </row>
    <row r="17" spans="2:14" s="4" customFormat="1" x14ac:dyDescent="0.3"/>
    <row r="18" spans="2:14" s="4" customFormat="1" ht="18" x14ac:dyDescent="0.35">
      <c r="B18" s="85" t="s">
        <v>113</v>
      </c>
      <c r="E18"/>
      <c r="F18"/>
      <c r="G18"/>
      <c r="H18"/>
      <c r="I18"/>
      <c r="J18"/>
      <c r="K18"/>
      <c r="L18"/>
      <c r="M18"/>
      <c r="N18"/>
    </row>
    <row r="19" spans="2:14" s="4" customFormat="1" x14ac:dyDescent="0.3">
      <c r="B19" s="16" t="s">
        <v>16</v>
      </c>
      <c r="C19" s="20">
        <v>1</v>
      </c>
      <c r="D19" s="20">
        <f>C19+1</f>
        <v>2</v>
      </c>
      <c r="E19" s="16">
        <f>D19+1</f>
        <v>3</v>
      </c>
      <c r="F19" s="16">
        <f>E19+1</f>
        <v>4</v>
      </c>
      <c r="G19" s="16">
        <f t="shared" ref="G19:N19" si="6">F19+1</f>
        <v>5</v>
      </c>
      <c r="H19" s="16">
        <f t="shared" si="6"/>
        <v>6</v>
      </c>
      <c r="I19" s="16">
        <f t="shared" si="6"/>
        <v>7</v>
      </c>
      <c r="J19" s="16">
        <f t="shared" si="6"/>
        <v>8</v>
      </c>
      <c r="K19" s="16">
        <f t="shared" si="6"/>
        <v>9</v>
      </c>
      <c r="L19" s="16">
        <f t="shared" si="6"/>
        <v>10</v>
      </c>
      <c r="M19" s="16">
        <f t="shared" si="6"/>
        <v>11</v>
      </c>
      <c r="N19" s="16">
        <f t="shared" si="6"/>
        <v>12</v>
      </c>
    </row>
    <row r="20" spans="2:14" s="4" customFormat="1" x14ac:dyDescent="0.3">
      <c r="B20" s="19" t="s">
        <v>110</v>
      </c>
      <c r="C20" s="19">
        <f>C13</f>
        <v>1</v>
      </c>
      <c r="D20" s="19">
        <f>C20</f>
        <v>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</row>
    <row r="21" spans="2:14" s="4" customFormat="1" x14ac:dyDescent="0.3">
      <c r="B21" s="19" t="s">
        <v>109</v>
      </c>
      <c r="C21" s="19"/>
      <c r="D21" s="19">
        <f>D13</f>
        <v>3</v>
      </c>
      <c r="E21" s="23">
        <f>D21</f>
        <v>3</v>
      </c>
      <c r="F21" s="23"/>
      <c r="G21" s="23"/>
      <c r="H21" s="23"/>
      <c r="I21" s="23"/>
      <c r="J21" s="23"/>
      <c r="K21" s="23"/>
      <c r="L21" s="23"/>
      <c r="M21" s="23"/>
      <c r="N21" s="23"/>
    </row>
    <row r="22" spans="2:14" s="4" customFormat="1" x14ac:dyDescent="0.3">
      <c r="B22" s="19" t="s">
        <v>99</v>
      </c>
      <c r="C22" s="19"/>
      <c r="D22" s="19"/>
      <c r="E22" s="23">
        <f>E13</f>
        <v>3</v>
      </c>
      <c r="F22" s="23">
        <f>E22</f>
        <v>3</v>
      </c>
      <c r="G22" s="23"/>
      <c r="H22" s="23"/>
      <c r="I22" s="23"/>
      <c r="J22" s="23"/>
      <c r="K22" s="23"/>
      <c r="L22" s="23"/>
      <c r="M22" s="23"/>
      <c r="N22" s="23"/>
    </row>
    <row r="23" spans="2:14" s="4" customFormat="1" x14ac:dyDescent="0.3">
      <c r="B23" s="19" t="s">
        <v>100</v>
      </c>
      <c r="C23" s="19"/>
      <c r="D23" s="19"/>
      <c r="E23" s="23"/>
      <c r="F23" s="23">
        <f>F13</f>
        <v>3</v>
      </c>
      <c r="G23" s="23">
        <f>F23</f>
        <v>3</v>
      </c>
      <c r="H23" s="23"/>
      <c r="I23" s="23"/>
      <c r="J23" s="23"/>
      <c r="K23" s="23"/>
      <c r="L23" s="23"/>
      <c r="M23" s="23"/>
      <c r="N23" s="23"/>
    </row>
    <row r="24" spans="2:14" s="4" customFormat="1" x14ac:dyDescent="0.3">
      <c r="B24" s="19" t="s">
        <v>101</v>
      </c>
      <c r="C24" s="19"/>
      <c r="D24" s="19"/>
      <c r="E24" s="23"/>
      <c r="F24" s="23"/>
      <c r="G24" s="23">
        <f>G13</f>
        <v>3</v>
      </c>
      <c r="H24" s="23">
        <f>G24</f>
        <v>3</v>
      </c>
      <c r="I24" s="23"/>
      <c r="J24" s="23"/>
      <c r="K24" s="23"/>
      <c r="L24" s="23"/>
      <c r="M24" s="23"/>
      <c r="N24" s="23"/>
    </row>
    <row r="25" spans="2:14" s="4" customFormat="1" x14ac:dyDescent="0.3">
      <c r="B25" s="19" t="s">
        <v>102</v>
      </c>
      <c r="C25" s="19"/>
      <c r="D25" s="19"/>
      <c r="E25" s="23"/>
      <c r="F25" s="23"/>
      <c r="G25" s="23"/>
      <c r="H25" s="23">
        <f>H13</f>
        <v>1</v>
      </c>
      <c r="I25" s="23">
        <f>H25</f>
        <v>1</v>
      </c>
      <c r="J25" s="23"/>
      <c r="K25" s="23"/>
      <c r="L25" s="23"/>
      <c r="M25" s="23"/>
      <c r="N25" s="23"/>
    </row>
    <row r="26" spans="2:14" s="4" customFormat="1" x14ac:dyDescent="0.3">
      <c r="B26" s="19" t="s">
        <v>103</v>
      </c>
      <c r="C26" s="19"/>
      <c r="D26" s="19"/>
      <c r="E26" s="23"/>
      <c r="F26" s="23"/>
      <c r="G26" s="23"/>
      <c r="H26" s="23"/>
      <c r="I26" s="23">
        <f>I13</f>
        <v>1</v>
      </c>
      <c r="J26" s="23">
        <f>I26</f>
        <v>1</v>
      </c>
      <c r="K26" s="23"/>
      <c r="L26" s="23"/>
      <c r="M26" s="23"/>
      <c r="N26" s="23"/>
    </row>
    <row r="27" spans="2:14" s="4" customFormat="1" x14ac:dyDescent="0.3">
      <c r="B27" s="19" t="s">
        <v>104</v>
      </c>
      <c r="C27" s="19"/>
      <c r="D27" s="19"/>
      <c r="E27" s="23"/>
      <c r="F27" s="23"/>
      <c r="G27" s="23"/>
      <c r="H27" s="23"/>
      <c r="I27" s="23"/>
      <c r="J27" s="23">
        <f>J13</f>
        <v>1</v>
      </c>
      <c r="K27" s="23">
        <f>J27</f>
        <v>1</v>
      </c>
      <c r="L27" s="23"/>
      <c r="M27" s="23"/>
      <c r="N27" s="23"/>
    </row>
    <row r="28" spans="2:14" s="4" customFormat="1" x14ac:dyDescent="0.3">
      <c r="B28" s="19" t="s">
        <v>105</v>
      </c>
      <c r="C28" s="19"/>
      <c r="D28" s="19"/>
      <c r="E28" s="23"/>
      <c r="F28" s="23"/>
      <c r="G28" s="23"/>
      <c r="H28" s="23"/>
      <c r="I28" s="23"/>
      <c r="J28" s="23"/>
      <c r="K28" s="23">
        <f>K13</f>
        <v>1</v>
      </c>
      <c r="L28" s="23">
        <f>K28</f>
        <v>1</v>
      </c>
      <c r="M28" s="23"/>
      <c r="N28" s="23"/>
    </row>
    <row r="29" spans="2:14" s="4" customFormat="1" x14ac:dyDescent="0.3">
      <c r="B29" s="19" t="s">
        <v>106</v>
      </c>
      <c r="C29" s="19"/>
      <c r="D29" s="19"/>
      <c r="E29" s="23"/>
      <c r="F29" s="23"/>
      <c r="G29" s="23"/>
      <c r="H29" s="23"/>
      <c r="I29" s="23"/>
      <c r="J29" s="23"/>
      <c r="K29" s="23"/>
      <c r="L29" s="23">
        <f>L13</f>
        <v>1</v>
      </c>
      <c r="M29" s="23">
        <f>L29</f>
        <v>1</v>
      </c>
      <c r="N29" s="23"/>
    </row>
    <row r="30" spans="2:14" s="4" customFormat="1" x14ac:dyDescent="0.3">
      <c r="B30" s="19" t="s">
        <v>107</v>
      </c>
      <c r="C30" s="19"/>
      <c r="D30" s="19"/>
      <c r="E30" s="23"/>
      <c r="F30" s="23"/>
      <c r="G30" s="23"/>
      <c r="H30" s="23"/>
      <c r="I30" s="23"/>
      <c r="J30" s="23"/>
      <c r="K30" s="23"/>
      <c r="L30" s="23"/>
      <c r="M30" s="23">
        <f>M13</f>
        <v>1</v>
      </c>
      <c r="N30" s="23">
        <f>M30</f>
        <v>1</v>
      </c>
    </row>
    <row r="31" spans="2:14" s="4" customFormat="1" x14ac:dyDescent="0.3">
      <c r="B31" s="19" t="s">
        <v>108</v>
      </c>
      <c r="C31" s="19"/>
      <c r="D31" s="19"/>
      <c r="E31" s="23"/>
      <c r="F31" s="23"/>
      <c r="G31" s="23"/>
      <c r="H31" s="23"/>
      <c r="I31" s="23"/>
      <c r="J31" s="23"/>
      <c r="K31" s="23"/>
      <c r="L31" s="23"/>
      <c r="M31" s="23"/>
      <c r="N31" s="23">
        <f>N13</f>
        <v>1</v>
      </c>
    </row>
    <row r="32" spans="2:14" s="4" customFormat="1" x14ac:dyDescent="0.3">
      <c r="B32" s="84" t="s">
        <v>1</v>
      </c>
      <c r="C32" s="19">
        <f>SUM(C20:C31)</f>
        <v>1</v>
      </c>
      <c r="D32" s="19">
        <f t="shared" ref="D32:N32" si="7">SUM(D20:D31)</f>
        <v>4</v>
      </c>
      <c r="E32" s="19">
        <f t="shared" si="7"/>
        <v>6</v>
      </c>
      <c r="F32" s="19">
        <f t="shared" si="7"/>
        <v>6</v>
      </c>
      <c r="G32" s="19">
        <f t="shared" si="7"/>
        <v>6</v>
      </c>
      <c r="H32" s="19">
        <f t="shared" si="7"/>
        <v>4</v>
      </c>
      <c r="I32" s="19">
        <f t="shared" si="7"/>
        <v>2</v>
      </c>
      <c r="J32" s="19">
        <f t="shared" si="7"/>
        <v>2</v>
      </c>
      <c r="K32" s="19">
        <f t="shared" si="7"/>
        <v>2</v>
      </c>
      <c r="L32" s="19">
        <f t="shared" si="7"/>
        <v>2</v>
      </c>
      <c r="M32" s="19">
        <f t="shared" si="7"/>
        <v>2</v>
      </c>
      <c r="N32" s="19">
        <f t="shared" si="7"/>
        <v>2</v>
      </c>
    </row>
    <row r="33" spans="2:14" s="4" customFormat="1" x14ac:dyDescent="0.3">
      <c r="E33"/>
      <c r="F33"/>
      <c r="G33"/>
      <c r="H33"/>
      <c r="I33"/>
      <c r="J33"/>
      <c r="K33"/>
      <c r="L33"/>
      <c r="M33"/>
      <c r="N33"/>
    </row>
    <row r="34" spans="2:14" s="4" customFormat="1" ht="18" x14ac:dyDescent="0.35">
      <c r="B34" s="85" t="s">
        <v>114</v>
      </c>
      <c r="E34"/>
      <c r="F34"/>
      <c r="G34"/>
      <c r="H34"/>
      <c r="I34"/>
      <c r="J34"/>
      <c r="K34"/>
      <c r="L34"/>
      <c r="M34"/>
      <c r="N34"/>
    </row>
    <row r="35" spans="2:14" s="4" customFormat="1" x14ac:dyDescent="0.3">
      <c r="B35" s="16" t="s">
        <v>16</v>
      </c>
      <c r="C35" s="20">
        <v>1</v>
      </c>
      <c r="D35" s="20">
        <f>C35+1</f>
        <v>2</v>
      </c>
      <c r="E35" s="16">
        <f>D35+1</f>
        <v>3</v>
      </c>
      <c r="F35" s="16">
        <f>E35+1</f>
        <v>4</v>
      </c>
      <c r="G35" s="16">
        <f t="shared" ref="G35:N35" si="8">F35+1</f>
        <v>5</v>
      </c>
      <c r="H35" s="16">
        <f t="shared" si="8"/>
        <v>6</v>
      </c>
      <c r="I35" s="16">
        <f t="shared" si="8"/>
        <v>7</v>
      </c>
      <c r="J35" s="16">
        <f t="shared" si="8"/>
        <v>8</v>
      </c>
      <c r="K35" s="16">
        <f t="shared" si="8"/>
        <v>9</v>
      </c>
      <c r="L35" s="16">
        <f t="shared" si="8"/>
        <v>10</v>
      </c>
      <c r="M35" s="16">
        <f t="shared" si="8"/>
        <v>11</v>
      </c>
      <c r="N35" s="16">
        <f t="shared" si="8"/>
        <v>12</v>
      </c>
    </row>
    <row r="36" spans="2:14" s="4" customFormat="1" x14ac:dyDescent="0.3">
      <c r="B36" s="19" t="s">
        <v>110</v>
      </c>
      <c r="C36" s="19"/>
      <c r="D36" s="19"/>
      <c r="E36" s="23">
        <f>D20</f>
        <v>1</v>
      </c>
      <c r="F36" s="23">
        <f>E36</f>
        <v>1</v>
      </c>
      <c r="G36" s="23">
        <f t="shared" ref="G36:N36" si="9">F36</f>
        <v>1</v>
      </c>
      <c r="H36" s="23">
        <f t="shared" si="9"/>
        <v>1</v>
      </c>
      <c r="I36" s="23">
        <f t="shared" si="9"/>
        <v>1</v>
      </c>
      <c r="J36" s="23">
        <f t="shared" si="9"/>
        <v>1</v>
      </c>
      <c r="K36" s="23">
        <f t="shared" si="9"/>
        <v>1</v>
      </c>
      <c r="L36" s="23">
        <f t="shared" si="9"/>
        <v>1</v>
      </c>
      <c r="M36" s="23">
        <f t="shared" si="9"/>
        <v>1</v>
      </c>
      <c r="N36" s="23">
        <f t="shared" si="9"/>
        <v>1</v>
      </c>
    </row>
    <row r="37" spans="2:14" s="4" customFormat="1" x14ac:dyDescent="0.3">
      <c r="B37" s="19" t="s">
        <v>109</v>
      </c>
      <c r="C37" s="19"/>
      <c r="D37" s="19"/>
      <c r="E37" s="23"/>
      <c r="F37" s="23">
        <f>E21</f>
        <v>3</v>
      </c>
      <c r="G37" s="23">
        <f>F37</f>
        <v>3</v>
      </c>
      <c r="H37" s="23">
        <f t="shared" ref="H37:N37" si="10">G37</f>
        <v>3</v>
      </c>
      <c r="I37" s="23">
        <f t="shared" si="10"/>
        <v>3</v>
      </c>
      <c r="J37" s="23">
        <f t="shared" si="10"/>
        <v>3</v>
      </c>
      <c r="K37" s="23">
        <f t="shared" si="10"/>
        <v>3</v>
      </c>
      <c r="L37" s="23">
        <f t="shared" si="10"/>
        <v>3</v>
      </c>
      <c r="M37" s="23">
        <f t="shared" si="10"/>
        <v>3</v>
      </c>
      <c r="N37" s="23">
        <f t="shared" si="10"/>
        <v>3</v>
      </c>
    </row>
    <row r="38" spans="2:14" s="4" customFormat="1" x14ac:dyDescent="0.3">
      <c r="B38" s="19" t="s">
        <v>99</v>
      </c>
      <c r="C38" s="19"/>
      <c r="D38" s="19"/>
      <c r="E38" s="23"/>
      <c r="F38" s="23"/>
      <c r="G38" s="23">
        <f>F22</f>
        <v>3</v>
      </c>
      <c r="H38" s="23">
        <f>G38</f>
        <v>3</v>
      </c>
      <c r="I38" s="23">
        <f t="shared" ref="I38:N38" si="11">H38</f>
        <v>3</v>
      </c>
      <c r="J38" s="23">
        <f t="shared" si="11"/>
        <v>3</v>
      </c>
      <c r="K38" s="23">
        <f t="shared" si="11"/>
        <v>3</v>
      </c>
      <c r="L38" s="23">
        <f t="shared" si="11"/>
        <v>3</v>
      </c>
      <c r="M38" s="23">
        <f t="shared" si="11"/>
        <v>3</v>
      </c>
      <c r="N38" s="23">
        <f t="shared" si="11"/>
        <v>3</v>
      </c>
    </row>
    <row r="39" spans="2:14" s="4" customFormat="1" x14ac:dyDescent="0.3">
      <c r="B39" s="19" t="s">
        <v>100</v>
      </c>
      <c r="C39" s="19"/>
      <c r="D39" s="19"/>
      <c r="E39" s="23"/>
      <c r="F39" s="23"/>
      <c r="G39" s="23"/>
      <c r="H39" s="23">
        <f>G23</f>
        <v>3</v>
      </c>
      <c r="I39" s="23">
        <f>H39</f>
        <v>3</v>
      </c>
      <c r="J39" s="23">
        <f t="shared" ref="J39:N44" si="12">I39</f>
        <v>3</v>
      </c>
      <c r="K39" s="23">
        <f t="shared" si="12"/>
        <v>3</v>
      </c>
      <c r="L39" s="23">
        <f t="shared" si="12"/>
        <v>3</v>
      </c>
      <c r="M39" s="23">
        <f t="shared" si="12"/>
        <v>3</v>
      </c>
      <c r="N39" s="23">
        <f t="shared" si="12"/>
        <v>3</v>
      </c>
    </row>
    <row r="40" spans="2:14" s="4" customFormat="1" x14ac:dyDescent="0.3">
      <c r="B40" s="19" t="s">
        <v>101</v>
      </c>
      <c r="C40" s="19"/>
      <c r="D40" s="19"/>
      <c r="E40" s="23"/>
      <c r="F40" s="23"/>
      <c r="G40" s="23"/>
      <c r="H40" s="23"/>
      <c r="I40" s="23">
        <f>H24</f>
        <v>3</v>
      </c>
      <c r="J40" s="23">
        <f>I40</f>
        <v>3</v>
      </c>
      <c r="K40" s="23">
        <f t="shared" si="12"/>
        <v>3</v>
      </c>
      <c r="L40" s="23">
        <f t="shared" si="12"/>
        <v>3</v>
      </c>
      <c r="M40" s="23">
        <f t="shared" si="12"/>
        <v>3</v>
      </c>
      <c r="N40" s="23">
        <f t="shared" si="12"/>
        <v>3</v>
      </c>
    </row>
    <row r="41" spans="2:14" s="4" customFormat="1" x14ac:dyDescent="0.3">
      <c r="B41" s="19" t="s">
        <v>102</v>
      </c>
      <c r="C41" s="19"/>
      <c r="D41" s="19"/>
      <c r="E41" s="23"/>
      <c r="F41" s="23"/>
      <c r="G41" s="23"/>
      <c r="H41" s="23"/>
      <c r="I41" s="23"/>
      <c r="J41" s="23">
        <f>I25</f>
        <v>1</v>
      </c>
      <c r="K41" s="23">
        <f t="shared" si="12"/>
        <v>1</v>
      </c>
      <c r="L41" s="23">
        <f t="shared" si="12"/>
        <v>1</v>
      </c>
      <c r="M41" s="23">
        <f t="shared" si="12"/>
        <v>1</v>
      </c>
      <c r="N41" s="23">
        <f t="shared" si="12"/>
        <v>1</v>
      </c>
    </row>
    <row r="42" spans="2:14" s="4" customFormat="1" x14ac:dyDescent="0.3">
      <c r="B42" s="19" t="s">
        <v>103</v>
      </c>
      <c r="C42" s="19"/>
      <c r="D42" s="19"/>
      <c r="E42" s="23"/>
      <c r="F42" s="23"/>
      <c r="G42" s="23"/>
      <c r="H42" s="23"/>
      <c r="I42" s="23"/>
      <c r="J42" s="23"/>
      <c r="K42" s="23">
        <f>J26</f>
        <v>1</v>
      </c>
      <c r="L42" s="23">
        <f t="shared" si="12"/>
        <v>1</v>
      </c>
      <c r="M42" s="23">
        <f t="shared" si="12"/>
        <v>1</v>
      </c>
      <c r="N42" s="23">
        <f t="shared" si="12"/>
        <v>1</v>
      </c>
    </row>
    <row r="43" spans="2:14" s="4" customFormat="1" x14ac:dyDescent="0.3">
      <c r="B43" s="19" t="s">
        <v>104</v>
      </c>
      <c r="C43" s="19"/>
      <c r="D43" s="19"/>
      <c r="E43" s="23"/>
      <c r="F43" s="23"/>
      <c r="G43" s="23"/>
      <c r="H43" s="23"/>
      <c r="I43" s="23"/>
      <c r="J43" s="23"/>
      <c r="K43" s="23"/>
      <c r="L43" s="23">
        <f>K27</f>
        <v>1</v>
      </c>
      <c r="M43" s="23">
        <f t="shared" si="12"/>
        <v>1</v>
      </c>
      <c r="N43" s="23">
        <f t="shared" si="12"/>
        <v>1</v>
      </c>
    </row>
    <row r="44" spans="2:14" s="4" customFormat="1" x14ac:dyDescent="0.3">
      <c r="B44" s="19" t="s">
        <v>105</v>
      </c>
      <c r="C44" s="19"/>
      <c r="D44" s="19"/>
      <c r="E44" s="23"/>
      <c r="F44" s="23"/>
      <c r="G44" s="23"/>
      <c r="H44" s="23"/>
      <c r="I44" s="23"/>
      <c r="J44" s="23"/>
      <c r="K44" s="23"/>
      <c r="L44" s="23"/>
      <c r="M44" s="23">
        <f>L28</f>
        <v>1</v>
      </c>
      <c r="N44" s="23">
        <f t="shared" si="12"/>
        <v>1</v>
      </c>
    </row>
    <row r="45" spans="2:14" s="4" customFormat="1" x14ac:dyDescent="0.3">
      <c r="B45" s="19" t="s">
        <v>106</v>
      </c>
      <c r="C45" s="19"/>
      <c r="D45" s="19"/>
      <c r="E45" s="23"/>
      <c r="F45" s="23"/>
      <c r="G45" s="23"/>
      <c r="H45" s="23"/>
      <c r="I45" s="23"/>
      <c r="J45" s="23"/>
      <c r="K45" s="23"/>
      <c r="L45" s="23"/>
      <c r="M45" s="23"/>
      <c r="N45" s="23">
        <f>M29</f>
        <v>1</v>
      </c>
    </row>
    <row r="46" spans="2:14" s="4" customFormat="1" x14ac:dyDescent="0.3">
      <c r="B46" s="19" t="s">
        <v>107</v>
      </c>
      <c r="C46" s="19"/>
      <c r="D46" s="19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2:14" s="4" customFormat="1" x14ac:dyDescent="0.3">
      <c r="B47" s="19" t="s">
        <v>108</v>
      </c>
      <c r="C47" s="19"/>
      <c r="D47" s="19"/>
      <c r="E47" s="23"/>
      <c r="F47" s="23"/>
      <c r="G47" s="23"/>
      <c r="H47" s="23"/>
      <c r="I47" s="23"/>
      <c r="J47" s="23"/>
      <c r="K47" s="23"/>
      <c r="L47" s="23"/>
      <c r="M47" s="23"/>
      <c r="N47" s="23"/>
    </row>
    <row r="48" spans="2:14" s="4" customFormat="1" x14ac:dyDescent="0.3">
      <c r="B48" s="84" t="s">
        <v>1</v>
      </c>
      <c r="C48" s="19">
        <f>SUM(C36:C47)</f>
        <v>0</v>
      </c>
      <c r="D48" s="19">
        <f t="shared" ref="D48:N48" si="13">SUM(D36:D47)</f>
        <v>0</v>
      </c>
      <c r="E48" s="19">
        <f t="shared" si="13"/>
        <v>1</v>
      </c>
      <c r="F48" s="19">
        <f t="shared" si="13"/>
        <v>4</v>
      </c>
      <c r="G48" s="19">
        <f t="shared" si="13"/>
        <v>7</v>
      </c>
      <c r="H48" s="19">
        <f t="shared" si="13"/>
        <v>10</v>
      </c>
      <c r="I48" s="19">
        <f t="shared" si="13"/>
        <v>13</v>
      </c>
      <c r="J48" s="19">
        <f t="shared" si="13"/>
        <v>14</v>
      </c>
      <c r="K48" s="19">
        <f t="shared" si="13"/>
        <v>15</v>
      </c>
      <c r="L48" s="19">
        <f t="shared" si="13"/>
        <v>16</v>
      </c>
      <c r="M48" s="19">
        <f t="shared" si="13"/>
        <v>17</v>
      </c>
      <c r="N48" s="19">
        <f t="shared" si="13"/>
        <v>18</v>
      </c>
    </row>
    <row r="49" spans="2:14" s="4" customFormat="1" x14ac:dyDescent="0.3">
      <c r="E49"/>
      <c r="F49"/>
      <c r="G49"/>
      <c r="H49"/>
      <c r="I49"/>
      <c r="J49"/>
      <c r="K49"/>
      <c r="L49"/>
      <c r="M49"/>
      <c r="N49"/>
    </row>
    <row r="50" spans="2:14" s="4" customFormat="1" ht="18" x14ac:dyDescent="0.35">
      <c r="B50" s="85" t="s">
        <v>15</v>
      </c>
      <c r="E50"/>
      <c r="F50"/>
      <c r="G50"/>
      <c r="H50"/>
      <c r="I50"/>
      <c r="J50"/>
      <c r="K50"/>
      <c r="L50"/>
      <c r="M50"/>
      <c r="N50"/>
    </row>
    <row r="51" spans="2:14" s="4" customFormat="1" x14ac:dyDescent="0.3">
      <c r="B51" s="16" t="s">
        <v>16</v>
      </c>
      <c r="C51" s="20">
        <v>1</v>
      </c>
      <c r="D51" s="20">
        <f>C51+1</f>
        <v>2</v>
      </c>
      <c r="E51" s="16">
        <f>D51+1</f>
        <v>3</v>
      </c>
      <c r="F51" s="16">
        <f>E51+1</f>
        <v>4</v>
      </c>
      <c r="G51" s="16">
        <f t="shared" ref="G51:N51" si="14">F51+1</f>
        <v>5</v>
      </c>
      <c r="H51" s="16">
        <f t="shared" si="14"/>
        <v>6</v>
      </c>
      <c r="I51" s="16">
        <f t="shared" si="14"/>
        <v>7</v>
      </c>
      <c r="J51" s="16">
        <f t="shared" si="14"/>
        <v>8</v>
      </c>
      <c r="K51" s="16">
        <f t="shared" si="14"/>
        <v>9</v>
      </c>
      <c r="L51" s="16">
        <f t="shared" si="14"/>
        <v>10</v>
      </c>
      <c r="M51" s="16">
        <f t="shared" si="14"/>
        <v>11</v>
      </c>
      <c r="N51" s="16">
        <f t="shared" si="14"/>
        <v>12</v>
      </c>
    </row>
    <row r="52" spans="2:14" s="4" customFormat="1" x14ac:dyDescent="0.3">
      <c r="B52" s="19" t="s">
        <v>22</v>
      </c>
      <c r="C52" s="34">
        <f>C32*$D$6</f>
        <v>25000</v>
      </c>
      <c r="D52" s="34">
        <f t="shared" ref="D52:N52" si="15">D32*$D$6</f>
        <v>100000</v>
      </c>
      <c r="E52" s="34">
        <f t="shared" si="15"/>
        <v>150000</v>
      </c>
      <c r="F52" s="34">
        <f t="shared" si="15"/>
        <v>150000</v>
      </c>
      <c r="G52" s="34">
        <f t="shared" si="15"/>
        <v>150000</v>
      </c>
      <c r="H52" s="34">
        <f t="shared" si="15"/>
        <v>100000</v>
      </c>
      <c r="I52" s="34">
        <f t="shared" si="15"/>
        <v>50000</v>
      </c>
      <c r="J52" s="34">
        <f t="shared" si="15"/>
        <v>50000</v>
      </c>
      <c r="K52" s="34">
        <f t="shared" si="15"/>
        <v>50000</v>
      </c>
      <c r="L52" s="34">
        <f t="shared" si="15"/>
        <v>50000</v>
      </c>
      <c r="M52" s="34">
        <f t="shared" si="15"/>
        <v>50000</v>
      </c>
      <c r="N52" s="34">
        <f t="shared" si="15"/>
        <v>50000</v>
      </c>
    </row>
    <row r="53" spans="2:14" s="4" customFormat="1" x14ac:dyDescent="0.3">
      <c r="B53" s="19" t="s">
        <v>23</v>
      </c>
      <c r="C53" s="34">
        <f>C48*$E$6</f>
        <v>0</v>
      </c>
      <c r="D53" s="34">
        <f t="shared" ref="D53:N53" si="16">D48*$E$6</f>
        <v>0</v>
      </c>
      <c r="E53" s="34">
        <f t="shared" si="16"/>
        <v>10000</v>
      </c>
      <c r="F53" s="34">
        <f t="shared" si="16"/>
        <v>40000</v>
      </c>
      <c r="G53" s="34">
        <f t="shared" si="16"/>
        <v>70000</v>
      </c>
      <c r="H53" s="34">
        <f t="shared" si="16"/>
        <v>100000</v>
      </c>
      <c r="I53" s="34">
        <f t="shared" si="16"/>
        <v>130000</v>
      </c>
      <c r="J53" s="34">
        <f t="shared" si="16"/>
        <v>140000</v>
      </c>
      <c r="K53" s="34">
        <f t="shared" si="16"/>
        <v>150000</v>
      </c>
      <c r="L53" s="34">
        <f t="shared" si="16"/>
        <v>160000</v>
      </c>
      <c r="M53" s="34">
        <f t="shared" si="16"/>
        <v>170000</v>
      </c>
      <c r="N53" s="34">
        <f t="shared" si="16"/>
        <v>180000</v>
      </c>
    </row>
    <row r="54" spans="2:14" s="4" customFormat="1" x14ac:dyDescent="0.3">
      <c r="B54" s="134" t="s">
        <v>21</v>
      </c>
      <c r="C54" s="135">
        <f t="shared" ref="C54:N54" si="17">SUM(C52:C53)</f>
        <v>25000</v>
      </c>
      <c r="D54" s="135">
        <f t="shared" si="17"/>
        <v>100000</v>
      </c>
      <c r="E54" s="135">
        <f t="shared" si="17"/>
        <v>160000</v>
      </c>
      <c r="F54" s="135">
        <f t="shared" si="17"/>
        <v>190000</v>
      </c>
      <c r="G54" s="135">
        <f t="shared" si="17"/>
        <v>220000</v>
      </c>
      <c r="H54" s="135">
        <f t="shared" si="17"/>
        <v>200000</v>
      </c>
      <c r="I54" s="135">
        <f t="shared" si="17"/>
        <v>180000</v>
      </c>
      <c r="J54" s="135">
        <f t="shared" si="17"/>
        <v>190000</v>
      </c>
      <c r="K54" s="135">
        <f t="shared" si="17"/>
        <v>200000</v>
      </c>
      <c r="L54" s="135">
        <f t="shared" si="17"/>
        <v>210000</v>
      </c>
      <c r="M54" s="135">
        <f t="shared" si="17"/>
        <v>220000</v>
      </c>
      <c r="N54" s="135">
        <f t="shared" si="17"/>
        <v>230000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4418-4D34-5746-8C12-1C5BDBA15F1D}">
  <sheetPr>
    <tabColor rgb="FFFFC000"/>
  </sheetPr>
  <dimension ref="A1:T153"/>
  <sheetViews>
    <sheetView showGridLines="0" zoomScale="90" zoomScaleNormal="90" workbookViewId="0"/>
  </sheetViews>
  <sheetFormatPr defaultColWidth="11.19921875" defaultRowHeight="15.6" x14ac:dyDescent="0.3"/>
  <cols>
    <col min="1" max="1" width="6.5" customWidth="1"/>
    <col min="2" max="2" width="33.5" customWidth="1"/>
    <col min="3" max="3" width="31.19921875" bestFit="1" customWidth="1"/>
    <col min="4" max="4" width="21" customWidth="1"/>
    <col min="5" max="5" width="16.69921875" customWidth="1"/>
    <col min="6" max="6" width="13.69921875" customWidth="1"/>
    <col min="7" max="7" width="12.296875" bestFit="1" customWidth="1"/>
    <col min="8" max="8" width="23.296875" customWidth="1"/>
    <col min="9" max="9" width="12.796875" bestFit="1" customWidth="1"/>
    <col min="10" max="13" width="14" bestFit="1" customWidth="1"/>
    <col min="14" max="14" width="14.296875" bestFit="1" customWidth="1"/>
    <col min="15" max="15" width="15.19921875" bestFit="1" customWidth="1"/>
    <col min="16" max="16" width="16.796875" bestFit="1" customWidth="1"/>
    <col min="17" max="17" width="17.796875" bestFit="1" customWidth="1"/>
    <col min="18" max="18" width="18.796875" bestFit="1" customWidth="1"/>
    <col min="19" max="20" width="12.296875" bestFit="1" customWidth="1"/>
  </cols>
  <sheetData>
    <row r="1" spans="1:11" s="22" customFormat="1" x14ac:dyDescent="0.3">
      <c r="I1" s="26"/>
    </row>
    <row r="2" spans="1:11" s="22" customFormat="1" ht="21" x14ac:dyDescent="0.4">
      <c r="B2" s="14" t="s">
        <v>137</v>
      </c>
      <c r="C2" s="122"/>
      <c r="I2" s="26"/>
    </row>
    <row r="3" spans="1:11" s="22" customFormat="1" x14ac:dyDescent="0.3">
      <c r="B3" s="123" t="s">
        <v>138</v>
      </c>
      <c r="C3" s="124" t="s">
        <v>139</v>
      </c>
      <c r="D3" s="124" t="s">
        <v>140</v>
      </c>
      <c r="E3" s="124" t="s">
        <v>141</v>
      </c>
      <c r="I3" s="26"/>
    </row>
    <row r="4" spans="1:11" s="22" customFormat="1" x14ac:dyDescent="0.3">
      <c r="B4" s="27" t="s">
        <v>35</v>
      </c>
      <c r="C4" s="124"/>
      <c r="D4" s="124"/>
      <c r="E4" s="124"/>
      <c r="I4" s="26"/>
    </row>
    <row r="5" spans="1:11" s="22" customFormat="1" x14ac:dyDescent="0.3">
      <c r="B5" s="27" t="s">
        <v>38</v>
      </c>
      <c r="C5" s="125">
        <v>8000</v>
      </c>
      <c r="D5" s="125">
        <v>10000</v>
      </c>
      <c r="E5" s="125">
        <v>12000</v>
      </c>
      <c r="I5" s="26"/>
      <c r="K5"/>
    </row>
    <row r="6" spans="1:11" s="22" customFormat="1" x14ac:dyDescent="0.3">
      <c r="A6" s="30">
        <v>0.25</v>
      </c>
      <c r="B6" s="27" t="s">
        <v>136</v>
      </c>
      <c r="C6" s="126">
        <f>C5*(1+$A$6)</f>
        <v>10000</v>
      </c>
      <c r="D6" s="126">
        <f>D5*(1+$A$6)</f>
        <v>12500</v>
      </c>
      <c r="E6" s="126">
        <f>E5*(1+$A$6)</f>
        <v>15000</v>
      </c>
      <c r="I6" s="26"/>
    </row>
    <row r="7" spans="1:11" s="22" customFormat="1" x14ac:dyDescent="0.3">
      <c r="B7" s="27" t="s">
        <v>142</v>
      </c>
      <c r="C7" s="127" t="s">
        <v>143</v>
      </c>
      <c r="D7" s="127" t="s">
        <v>143</v>
      </c>
      <c r="E7" s="127" t="s">
        <v>143</v>
      </c>
      <c r="I7" s="26"/>
    </row>
    <row r="8" spans="1:11" s="22" customFormat="1" x14ac:dyDescent="0.3">
      <c r="B8" s="27" t="s">
        <v>144</v>
      </c>
      <c r="C8" s="127" t="s">
        <v>143</v>
      </c>
      <c r="D8" s="127" t="s">
        <v>143</v>
      </c>
      <c r="E8" s="127" t="s">
        <v>143</v>
      </c>
      <c r="I8" s="26"/>
    </row>
    <row r="9" spans="1:11" s="22" customFormat="1" x14ac:dyDescent="0.3">
      <c r="B9" s="27" t="s">
        <v>145</v>
      </c>
      <c r="C9" s="127" t="s">
        <v>143</v>
      </c>
      <c r="D9" s="127" t="s">
        <v>143</v>
      </c>
      <c r="E9" s="127" t="s">
        <v>143</v>
      </c>
      <c r="I9" s="26"/>
    </row>
    <row r="10" spans="1:11" s="22" customFormat="1" x14ac:dyDescent="0.3">
      <c r="F10" s="26"/>
    </row>
    <row r="11" spans="1:11" s="22" customFormat="1" ht="18" x14ac:dyDescent="0.35">
      <c r="B11" s="8" t="s">
        <v>146</v>
      </c>
      <c r="F11" s="26"/>
    </row>
    <row r="12" spans="1:11" s="22" customFormat="1" x14ac:dyDescent="0.3">
      <c r="B12" s="123" t="s">
        <v>138</v>
      </c>
      <c r="C12" s="124" t="s">
        <v>139</v>
      </c>
      <c r="D12" s="124" t="s">
        <v>140</v>
      </c>
      <c r="E12" s="124" t="s">
        <v>141</v>
      </c>
      <c r="F12" s="26"/>
    </row>
    <row r="13" spans="1:11" s="22" customFormat="1" x14ac:dyDescent="0.3">
      <c r="B13" s="27" t="s">
        <v>35</v>
      </c>
      <c r="C13" s="124"/>
      <c r="D13" s="124"/>
      <c r="E13" s="124"/>
      <c r="F13" s="26"/>
    </row>
    <row r="14" spans="1:11" s="22" customFormat="1" x14ac:dyDescent="0.3">
      <c r="B14" s="27" t="s">
        <v>38</v>
      </c>
      <c r="C14" s="128">
        <v>0.15</v>
      </c>
      <c r="D14" s="128">
        <v>0.25</v>
      </c>
      <c r="E14" s="128">
        <v>0.1</v>
      </c>
      <c r="F14" s="129"/>
    </row>
    <row r="15" spans="1:11" s="22" customFormat="1" x14ac:dyDescent="0.3">
      <c r="B15" s="27" t="s">
        <v>136</v>
      </c>
      <c r="C15" s="128">
        <v>0.15</v>
      </c>
      <c r="D15" s="128">
        <v>0.25</v>
      </c>
      <c r="E15" s="128">
        <v>0.1</v>
      </c>
      <c r="F15" s="26"/>
    </row>
    <row r="16" spans="1:11" s="22" customFormat="1" x14ac:dyDescent="0.3">
      <c r="B16" s="27" t="s">
        <v>142</v>
      </c>
      <c r="C16" s="127" t="s">
        <v>143</v>
      </c>
      <c r="D16" s="127" t="s">
        <v>143</v>
      </c>
      <c r="E16" s="127" t="s">
        <v>143</v>
      </c>
      <c r="F16" s="26"/>
    </row>
    <row r="17" spans="2:6" s="22" customFormat="1" x14ac:dyDescent="0.3">
      <c r="B17" s="27" t="s">
        <v>144</v>
      </c>
      <c r="C17" s="127" t="s">
        <v>143</v>
      </c>
      <c r="D17" s="127" t="s">
        <v>143</v>
      </c>
      <c r="E17" s="127" t="s">
        <v>143</v>
      </c>
      <c r="F17" s="26"/>
    </row>
    <row r="18" spans="2:6" s="22" customFormat="1" x14ac:dyDescent="0.3">
      <c r="B18" s="27" t="s">
        <v>145</v>
      </c>
      <c r="C18" s="127" t="s">
        <v>143</v>
      </c>
      <c r="D18" s="127" t="s">
        <v>143</v>
      </c>
      <c r="E18" s="127" t="s">
        <v>143</v>
      </c>
      <c r="F18" s="26"/>
    </row>
    <row r="19" spans="2:6" s="22" customFormat="1" x14ac:dyDescent="0.3">
      <c r="F19" s="26"/>
    </row>
    <row r="20" spans="2:6" ht="18" x14ac:dyDescent="0.35">
      <c r="B20" s="8" t="s">
        <v>24</v>
      </c>
    </row>
    <row r="21" spans="2:6" ht="46.8" x14ac:dyDescent="0.3">
      <c r="B21" s="88" t="s">
        <v>147</v>
      </c>
      <c r="C21" s="88" t="s">
        <v>148</v>
      </c>
      <c r="D21" s="88" t="s">
        <v>149</v>
      </c>
      <c r="E21" s="88" t="s">
        <v>129</v>
      </c>
      <c r="F21" s="88" t="s">
        <v>127</v>
      </c>
    </row>
    <row r="22" spans="2:6" x14ac:dyDescent="0.3">
      <c r="B22" s="24">
        <v>100</v>
      </c>
      <c r="C22" s="24">
        <v>4</v>
      </c>
      <c r="D22" s="24">
        <f>ROUNDUP(B22/C22,0)</f>
        <v>25</v>
      </c>
      <c r="E22" s="130">
        <v>2.2499999999999999E-2</v>
      </c>
      <c r="F22" s="24">
        <f>ROUNDUP(E22*D22,0)</f>
        <v>1</v>
      </c>
    </row>
    <row r="23" spans="2:6" x14ac:dyDescent="0.3">
      <c r="B23" s="24">
        <v>800</v>
      </c>
      <c r="C23" s="24">
        <v>10</v>
      </c>
      <c r="D23" s="24">
        <f>ROUNDUP(B23/C23,0)</f>
        <v>80</v>
      </c>
      <c r="E23" s="130">
        <v>6.6500000000000004E-2</v>
      </c>
      <c r="F23" s="24">
        <f>ROUNDUP(E23*D23,0)</f>
        <v>6</v>
      </c>
    </row>
    <row r="24" spans="2:6" x14ac:dyDescent="0.3">
      <c r="B24" s="24">
        <v>2000</v>
      </c>
      <c r="C24" s="24">
        <v>10</v>
      </c>
      <c r="D24" s="24">
        <f>ROUNDUP(B24/C24,0)</f>
        <v>200</v>
      </c>
      <c r="E24" s="130">
        <v>1.66E-2</v>
      </c>
      <c r="F24" s="24">
        <f>ROUNDUP(E24*D24,0)</f>
        <v>4</v>
      </c>
    </row>
    <row r="25" spans="2:6" s="40" customFormat="1" x14ac:dyDescent="0.3">
      <c r="B25" s="41"/>
      <c r="C25" s="41"/>
      <c r="D25" s="41"/>
      <c r="E25" s="150"/>
      <c r="F25" s="41"/>
    </row>
    <row r="26" spans="2:6" s="40" customFormat="1" ht="18" x14ac:dyDescent="0.35">
      <c r="B26" s="8" t="s">
        <v>32</v>
      </c>
      <c r="C26" s="41"/>
      <c r="D26" s="41"/>
      <c r="E26" s="150"/>
      <c r="F26" s="41"/>
    </row>
    <row r="27" spans="2:6" ht="46.8" x14ac:dyDescent="0.3">
      <c r="B27" s="88" t="s">
        <v>147</v>
      </c>
      <c r="C27" s="88" t="s">
        <v>148</v>
      </c>
      <c r="D27" s="88" t="s">
        <v>149</v>
      </c>
      <c r="E27" s="88" t="s">
        <v>129</v>
      </c>
      <c r="F27" s="88" t="s">
        <v>127</v>
      </c>
    </row>
    <row r="28" spans="2:6" x14ac:dyDescent="0.3">
      <c r="B28" s="24">
        <v>300</v>
      </c>
      <c r="C28" s="24">
        <v>4</v>
      </c>
      <c r="D28" s="24">
        <f>ROUNDUP(B28/C28,0)</f>
        <v>75</v>
      </c>
      <c r="E28" s="130">
        <v>2.2499999999999999E-2</v>
      </c>
      <c r="F28" s="24">
        <f>ROUNDUP(E28*D28,0)</f>
        <v>2</v>
      </c>
    </row>
    <row r="29" spans="2:6" x14ac:dyDescent="0.3">
      <c r="B29" s="24">
        <v>1500</v>
      </c>
      <c r="C29" s="24">
        <v>10</v>
      </c>
      <c r="D29" s="24">
        <f>ROUNDUP(B29/C29,0)</f>
        <v>150</v>
      </c>
      <c r="E29" s="130">
        <v>6.6500000000000004E-2</v>
      </c>
      <c r="F29" s="24">
        <f>ROUNDUP(E29*D29,0)</f>
        <v>10</v>
      </c>
    </row>
    <row r="30" spans="2:6" x14ac:dyDescent="0.3">
      <c r="B30" s="24">
        <v>10000</v>
      </c>
      <c r="C30" s="24">
        <v>10</v>
      </c>
      <c r="D30" s="24">
        <f>ROUNDUP(B30/C30,0)</f>
        <v>1000</v>
      </c>
      <c r="E30" s="130">
        <v>1.66E-2</v>
      </c>
      <c r="F30" s="24">
        <f>ROUNDUP(E30*D30,0)</f>
        <v>17</v>
      </c>
    </row>
    <row r="34" spans="2:20" ht="18" x14ac:dyDescent="0.35">
      <c r="B34" s="8" t="s">
        <v>118</v>
      </c>
    </row>
    <row r="35" spans="2:20" x14ac:dyDescent="0.3">
      <c r="B35" s="9"/>
      <c r="C35" s="20">
        <v>1</v>
      </c>
      <c r="D35" s="20">
        <f t="shared" ref="D35:N35" si="0">C35+1</f>
        <v>2</v>
      </c>
      <c r="E35" s="16">
        <f t="shared" si="0"/>
        <v>3</v>
      </c>
      <c r="F35" s="16">
        <f t="shared" si="0"/>
        <v>4</v>
      </c>
      <c r="G35" s="16">
        <f t="shared" si="0"/>
        <v>5</v>
      </c>
      <c r="H35" s="16">
        <f t="shared" si="0"/>
        <v>6</v>
      </c>
      <c r="I35" s="16">
        <f t="shared" si="0"/>
        <v>7</v>
      </c>
      <c r="J35" s="16">
        <f t="shared" si="0"/>
        <v>8</v>
      </c>
      <c r="K35" s="16">
        <f t="shared" si="0"/>
        <v>9</v>
      </c>
      <c r="L35" s="16">
        <f t="shared" si="0"/>
        <v>10</v>
      </c>
      <c r="M35" s="16">
        <f t="shared" si="0"/>
        <v>11</v>
      </c>
      <c r="N35" s="16">
        <f t="shared" si="0"/>
        <v>12</v>
      </c>
    </row>
    <row r="36" spans="2:20" x14ac:dyDescent="0.3">
      <c r="B36" s="23" t="s">
        <v>24</v>
      </c>
      <c r="C36" s="23"/>
      <c r="D36" s="23"/>
      <c r="E36" s="58"/>
      <c r="F36" s="58"/>
      <c r="G36" s="58"/>
      <c r="H36" s="58">
        <v>1</v>
      </c>
      <c r="I36" s="58"/>
      <c r="J36" s="58"/>
      <c r="K36" s="58"/>
      <c r="L36" s="58">
        <v>1</v>
      </c>
      <c r="M36" s="58"/>
      <c r="N36" s="58"/>
    </row>
    <row r="37" spans="2:20" x14ac:dyDescent="0.3">
      <c r="B37" s="23" t="s">
        <v>32</v>
      </c>
      <c r="C37" s="23"/>
      <c r="D37" s="23"/>
      <c r="E37" s="58">
        <v>1</v>
      </c>
      <c r="F37" s="58">
        <v>1</v>
      </c>
      <c r="G37" s="58">
        <v>1</v>
      </c>
      <c r="H37" s="58">
        <v>0</v>
      </c>
      <c r="I37" s="58">
        <v>1</v>
      </c>
      <c r="J37" s="58">
        <v>1</v>
      </c>
      <c r="K37" s="58">
        <v>1</v>
      </c>
      <c r="L37" s="58">
        <v>0</v>
      </c>
      <c r="M37" s="58">
        <v>1</v>
      </c>
      <c r="N37" s="58">
        <v>1</v>
      </c>
    </row>
    <row r="38" spans="2:20" x14ac:dyDescent="0.3">
      <c r="B38" s="23" t="s">
        <v>119</v>
      </c>
      <c r="C38" s="23"/>
      <c r="D38" s="23"/>
      <c r="E38" s="23">
        <f t="shared" ref="E38:N38" si="1">SUM(E36:E37)</f>
        <v>1</v>
      </c>
      <c r="F38" s="23">
        <f t="shared" si="1"/>
        <v>1</v>
      </c>
      <c r="G38" s="23">
        <f t="shared" si="1"/>
        <v>1</v>
      </c>
      <c r="H38" s="23">
        <f t="shared" si="1"/>
        <v>1</v>
      </c>
      <c r="I38" s="23">
        <f t="shared" si="1"/>
        <v>1</v>
      </c>
      <c r="J38" s="23">
        <f t="shared" si="1"/>
        <v>1</v>
      </c>
      <c r="K38" s="23">
        <f t="shared" si="1"/>
        <v>1</v>
      </c>
      <c r="L38" s="23">
        <f t="shared" si="1"/>
        <v>1</v>
      </c>
      <c r="M38" s="23">
        <f t="shared" si="1"/>
        <v>1</v>
      </c>
      <c r="N38" s="23">
        <f t="shared" si="1"/>
        <v>1</v>
      </c>
    </row>
    <row r="39" spans="2:20" x14ac:dyDescent="0.3">
      <c r="B39" s="23" t="s">
        <v>120</v>
      </c>
      <c r="C39" s="58">
        <v>0</v>
      </c>
      <c r="D39" s="58"/>
      <c r="E39" s="23">
        <f>C39+E36</f>
        <v>0</v>
      </c>
      <c r="F39" s="23">
        <f t="shared" ref="F39:N39" si="2">E39+F36</f>
        <v>0</v>
      </c>
      <c r="G39" s="23">
        <f t="shared" si="2"/>
        <v>0</v>
      </c>
      <c r="H39" s="23">
        <f t="shared" si="2"/>
        <v>1</v>
      </c>
      <c r="I39" s="23">
        <f t="shared" si="2"/>
        <v>1</v>
      </c>
      <c r="J39" s="23">
        <f t="shared" si="2"/>
        <v>1</v>
      </c>
      <c r="K39" s="23">
        <f t="shared" si="2"/>
        <v>1</v>
      </c>
      <c r="L39" s="23">
        <f t="shared" si="2"/>
        <v>2</v>
      </c>
      <c r="M39" s="23">
        <f t="shared" si="2"/>
        <v>2</v>
      </c>
      <c r="N39" s="23">
        <f t="shared" si="2"/>
        <v>2</v>
      </c>
    </row>
    <row r="40" spans="2:20" x14ac:dyDescent="0.3">
      <c r="B40" s="23" t="s">
        <v>121</v>
      </c>
      <c r="C40" s="58">
        <v>0</v>
      </c>
      <c r="D40" s="58"/>
      <c r="E40" s="23">
        <f>C40+E37</f>
        <v>1</v>
      </c>
      <c r="F40" s="23">
        <f t="shared" ref="F40:N40" si="3">E40+F37</f>
        <v>2</v>
      </c>
      <c r="G40" s="23">
        <f t="shared" si="3"/>
        <v>3</v>
      </c>
      <c r="H40" s="23">
        <f t="shared" si="3"/>
        <v>3</v>
      </c>
      <c r="I40" s="23">
        <f t="shared" si="3"/>
        <v>4</v>
      </c>
      <c r="J40" s="23">
        <f t="shared" si="3"/>
        <v>5</v>
      </c>
      <c r="K40" s="23">
        <f t="shared" si="3"/>
        <v>6</v>
      </c>
      <c r="L40" s="23">
        <f t="shared" si="3"/>
        <v>6</v>
      </c>
      <c r="M40" s="23">
        <f t="shared" si="3"/>
        <v>7</v>
      </c>
      <c r="N40" s="23">
        <f t="shared" si="3"/>
        <v>8</v>
      </c>
    </row>
    <row r="41" spans="2:20" x14ac:dyDescent="0.3">
      <c r="B41" s="23" t="s">
        <v>122</v>
      </c>
      <c r="C41" s="23">
        <f>C39+C40</f>
        <v>0</v>
      </c>
      <c r="D41" s="23"/>
      <c r="E41" s="23">
        <f>C41+E38</f>
        <v>1</v>
      </c>
      <c r="F41" s="23">
        <f t="shared" ref="F41:N41" si="4">E41+F38</f>
        <v>2</v>
      </c>
      <c r="G41" s="23">
        <f t="shared" si="4"/>
        <v>3</v>
      </c>
      <c r="H41" s="23">
        <f t="shared" si="4"/>
        <v>4</v>
      </c>
      <c r="I41" s="23">
        <f t="shared" si="4"/>
        <v>5</v>
      </c>
      <c r="J41" s="23">
        <f t="shared" si="4"/>
        <v>6</v>
      </c>
      <c r="K41" s="23">
        <f t="shared" si="4"/>
        <v>7</v>
      </c>
      <c r="L41" s="23">
        <f t="shared" si="4"/>
        <v>8</v>
      </c>
      <c r="M41" s="23">
        <f t="shared" si="4"/>
        <v>9</v>
      </c>
      <c r="N41" s="23">
        <f t="shared" si="4"/>
        <v>10</v>
      </c>
    </row>
    <row r="42" spans="2:20" x14ac:dyDescent="0.3">
      <c r="B42" s="77" t="s">
        <v>123</v>
      </c>
    </row>
    <row r="44" spans="2:20" ht="18" x14ac:dyDescent="0.35">
      <c r="B44" s="8" t="s">
        <v>124</v>
      </c>
      <c r="I44" s="25"/>
      <c r="J44" s="87"/>
    </row>
    <row r="45" spans="2:20" x14ac:dyDescent="0.3">
      <c r="B45" s="36"/>
    </row>
    <row r="46" spans="2:20" x14ac:dyDescent="0.3">
      <c r="B46" s="36" t="s">
        <v>24</v>
      </c>
    </row>
    <row r="47" spans="2:20" s="22" customFormat="1" ht="62.4" x14ac:dyDescent="0.3">
      <c r="B47" s="88" t="s">
        <v>125</v>
      </c>
      <c r="C47" s="88" t="s">
        <v>25</v>
      </c>
      <c r="D47" s="88" t="s">
        <v>126</v>
      </c>
      <c r="E47" s="88" t="s">
        <v>127</v>
      </c>
      <c r="F47" s="88" t="s">
        <v>128</v>
      </c>
      <c r="G47" s="20">
        <v>1</v>
      </c>
      <c r="H47" s="20">
        <f t="shared" ref="H47:R47" si="5">G47+1</f>
        <v>2</v>
      </c>
      <c r="I47" s="16">
        <f t="shared" si="5"/>
        <v>3</v>
      </c>
      <c r="J47" s="16">
        <f t="shared" si="5"/>
        <v>4</v>
      </c>
      <c r="K47" s="16">
        <f t="shared" si="5"/>
        <v>5</v>
      </c>
      <c r="L47" s="16">
        <f t="shared" si="5"/>
        <v>6</v>
      </c>
      <c r="M47" s="16">
        <f t="shared" si="5"/>
        <v>7</v>
      </c>
      <c r="N47" s="16">
        <f t="shared" si="5"/>
        <v>8</v>
      </c>
      <c r="O47" s="16">
        <f t="shared" si="5"/>
        <v>9</v>
      </c>
      <c r="P47" s="16">
        <f t="shared" si="5"/>
        <v>10</v>
      </c>
      <c r="Q47" s="16">
        <f t="shared" si="5"/>
        <v>11</v>
      </c>
      <c r="R47" s="16">
        <f t="shared" si="5"/>
        <v>12</v>
      </c>
      <c r="S47"/>
      <c r="T47"/>
    </row>
    <row r="48" spans="2:20" x14ac:dyDescent="0.3">
      <c r="B48" s="23" t="s">
        <v>130</v>
      </c>
      <c r="C48" s="23" t="s">
        <v>26</v>
      </c>
      <c r="D48" s="23" t="s">
        <v>116</v>
      </c>
      <c r="E48" s="90">
        <v>1</v>
      </c>
      <c r="F48" s="89">
        <v>0.1</v>
      </c>
      <c r="G48" s="89"/>
      <c r="H48" s="89"/>
      <c r="I48" s="24">
        <f t="shared" ref="I48:I53" si="6">ROUNDUP($E48*E$39,0)</f>
        <v>0</v>
      </c>
      <c r="J48" s="24">
        <f t="shared" ref="J48:R53" si="7">ROUNDUP(($E48*F$39)*(1+$F48),0)</f>
        <v>0</v>
      </c>
      <c r="K48" s="24">
        <f t="shared" si="7"/>
        <v>0</v>
      </c>
      <c r="L48" s="24">
        <f t="shared" si="7"/>
        <v>2</v>
      </c>
      <c r="M48" s="24">
        <f t="shared" si="7"/>
        <v>2</v>
      </c>
      <c r="N48" s="24">
        <f t="shared" si="7"/>
        <v>2</v>
      </c>
      <c r="O48" s="24">
        <f t="shared" si="7"/>
        <v>2</v>
      </c>
      <c r="P48" s="24">
        <f t="shared" si="7"/>
        <v>3</v>
      </c>
      <c r="Q48" s="24">
        <f t="shared" si="7"/>
        <v>3</v>
      </c>
      <c r="R48" s="24">
        <f t="shared" si="7"/>
        <v>3</v>
      </c>
    </row>
    <row r="49" spans="2:20" x14ac:dyDescent="0.3">
      <c r="B49" s="23" t="s">
        <v>130</v>
      </c>
      <c r="C49" s="23" t="s">
        <v>27</v>
      </c>
      <c r="D49" s="23" t="s">
        <v>117</v>
      </c>
      <c r="E49" s="90">
        <v>6</v>
      </c>
      <c r="F49" s="89">
        <v>0.1</v>
      </c>
      <c r="G49" s="89"/>
      <c r="H49" s="89"/>
      <c r="I49" s="24">
        <f t="shared" si="6"/>
        <v>0</v>
      </c>
      <c r="J49" s="24">
        <f t="shared" si="7"/>
        <v>0</v>
      </c>
      <c r="K49" s="24">
        <f t="shared" si="7"/>
        <v>0</v>
      </c>
      <c r="L49" s="24">
        <f t="shared" si="7"/>
        <v>7</v>
      </c>
      <c r="M49" s="24">
        <f t="shared" si="7"/>
        <v>7</v>
      </c>
      <c r="N49" s="24">
        <f t="shared" si="7"/>
        <v>7</v>
      </c>
      <c r="O49" s="24">
        <f t="shared" si="7"/>
        <v>7</v>
      </c>
      <c r="P49" s="24">
        <f t="shared" si="7"/>
        <v>14</v>
      </c>
      <c r="Q49" s="24">
        <f t="shared" si="7"/>
        <v>14</v>
      </c>
      <c r="R49" s="24">
        <f t="shared" si="7"/>
        <v>14</v>
      </c>
    </row>
    <row r="50" spans="2:20" x14ac:dyDescent="0.3">
      <c r="B50" s="23" t="s">
        <v>130</v>
      </c>
      <c r="C50" s="23" t="s">
        <v>28</v>
      </c>
      <c r="D50" s="23" t="s">
        <v>115</v>
      </c>
      <c r="E50" s="90"/>
      <c r="F50" s="89">
        <v>0.1</v>
      </c>
      <c r="G50" s="89"/>
      <c r="H50" s="89"/>
      <c r="I50" s="24">
        <f t="shared" si="6"/>
        <v>0</v>
      </c>
      <c r="J50" s="24">
        <f t="shared" si="7"/>
        <v>0</v>
      </c>
      <c r="K50" s="24">
        <f t="shared" si="7"/>
        <v>0</v>
      </c>
      <c r="L50" s="24">
        <f t="shared" si="7"/>
        <v>0</v>
      </c>
      <c r="M50" s="24">
        <f t="shared" si="7"/>
        <v>0</v>
      </c>
      <c r="N50" s="24">
        <f t="shared" si="7"/>
        <v>0</v>
      </c>
      <c r="O50" s="24">
        <f t="shared" si="7"/>
        <v>0</v>
      </c>
      <c r="P50" s="24">
        <f t="shared" si="7"/>
        <v>0</v>
      </c>
      <c r="Q50" s="24">
        <f t="shared" si="7"/>
        <v>0</v>
      </c>
      <c r="R50" s="24">
        <f t="shared" si="7"/>
        <v>0</v>
      </c>
    </row>
    <row r="51" spans="2:20" x14ac:dyDescent="0.3">
      <c r="B51" s="23" t="s">
        <v>130</v>
      </c>
      <c r="C51" s="23" t="s">
        <v>29</v>
      </c>
      <c r="D51" s="23" t="s">
        <v>116</v>
      </c>
      <c r="E51" s="90">
        <v>4</v>
      </c>
      <c r="F51" s="89">
        <v>0.1</v>
      </c>
      <c r="G51" s="89"/>
      <c r="H51" s="89"/>
      <c r="I51" s="24">
        <f t="shared" si="6"/>
        <v>0</v>
      </c>
      <c r="J51" s="24">
        <f t="shared" si="7"/>
        <v>0</v>
      </c>
      <c r="K51" s="24">
        <f t="shared" si="7"/>
        <v>0</v>
      </c>
      <c r="L51" s="24">
        <f t="shared" si="7"/>
        <v>5</v>
      </c>
      <c r="M51" s="24">
        <f t="shared" si="7"/>
        <v>5</v>
      </c>
      <c r="N51" s="24">
        <f t="shared" si="7"/>
        <v>5</v>
      </c>
      <c r="O51" s="24">
        <f t="shared" si="7"/>
        <v>5</v>
      </c>
      <c r="P51" s="24">
        <f t="shared" si="7"/>
        <v>9</v>
      </c>
      <c r="Q51" s="24">
        <f t="shared" si="7"/>
        <v>9</v>
      </c>
      <c r="R51" s="24">
        <f t="shared" si="7"/>
        <v>9</v>
      </c>
    </row>
    <row r="52" spans="2:20" x14ac:dyDescent="0.3">
      <c r="B52" s="23" t="s">
        <v>130</v>
      </c>
      <c r="C52" s="23" t="s">
        <v>30</v>
      </c>
      <c r="D52" s="23" t="s">
        <v>115</v>
      </c>
      <c r="E52" s="90"/>
      <c r="F52" s="89">
        <v>0.1</v>
      </c>
      <c r="G52" s="89"/>
      <c r="H52" s="89"/>
      <c r="I52" s="24">
        <f t="shared" si="6"/>
        <v>0</v>
      </c>
      <c r="J52" s="24">
        <f t="shared" si="7"/>
        <v>0</v>
      </c>
      <c r="K52" s="24">
        <f t="shared" si="7"/>
        <v>0</v>
      </c>
      <c r="L52" s="24">
        <f t="shared" si="7"/>
        <v>0</v>
      </c>
      <c r="M52" s="24">
        <f t="shared" si="7"/>
        <v>0</v>
      </c>
      <c r="N52" s="24">
        <f t="shared" si="7"/>
        <v>0</v>
      </c>
      <c r="O52" s="24">
        <f t="shared" si="7"/>
        <v>0</v>
      </c>
      <c r="P52" s="24">
        <f t="shared" si="7"/>
        <v>0</v>
      </c>
      <c r="Q52" s="24">
        <f t="shared" si="7"/>
        <v>0</v>
      </c>
      <c r="R52" s="24">
        <f t="shared" si="7"/>
        <v>0</v>
      </c>
    </row>
    <row r="53" spans="2:20" x14ac:dyDescent="0.3">
      <c r="B53" s="23" t="s">
        <v>130</v>
      </c>
      <c r="C53" s="23" t="s">
        <v>31</v>
      </c>
      <c r="D53" s="23" t="s">
        <v>115</v>
      </c>
      <c r="E53" s="90"/>
      <c r="F53" s="89">
        <v>0.1</v>
      </c>
      <c r="G53" s="89"/>
      <c r="H53" s="89"/>
      <c r="I53" s="24">
        <f t="shared" si="6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  <c r="Q53" s="24">
        <f t="shared" si="7"/>
        <v>0</v>
      </c>
      <c r="R53" s="24">
        <f t="shared" si="7"/>
        <v>0</v>
      </c>
    </row>
    <row r="54" spans="2:20" x14ac:dyDescent="0.3">
      <c r="E54" s="91">
        <f>SUM(E48:E53)</f>
        <v>11</v>
      </c>
      <c r="G54" s="25">
        <f t="shared" ref="G54:H54" si="8">SUM(G48:G53)</f>
        <v>0</v>
      </c>
      <c r="H54" s="25">
        <f t="shared" si="8"/>
        <v>0</v>
      </c>
      <c r="I54" s="25">
        <f t="shared" ref="I54:R54" si="9">SUM(I48:I53)</f>
        <v>0</v>
      </c>
      <c r="J54" s="25">
        <f t="shared" si="9"/>
        <v>0</v>
      </c>
      <c r="K54" s="25">
        <f t="shared" si="9"/>
        <v>0</v>
      </c>
      <c r="L54" s="25">
        <f t="shared" si="9"/>
        <v>14</v>
      </c>
      <c r="M54" s="25">
        <f t="shared" si="9"/>
        <v>14</v>
      </c>
      <c r="N54" s="25">
        <f t="shared" si="9"/>
        <v>14</v>
      </c>
      <c r="O54" s="25">
        <f t="shared" si="9"/>
        <v>14</v>
      </c>
      <c r="P54" s="25">
        <f t="shared" si="9"/>
        <v>26</v>
      </c>
      <c r="Q54" s="25">
        <f t="shared" si="9"/>
        <v>26</v>
      </c>
      <c r="R54" s="25">
        <f t="shared" si="9"/>
        <v>26</v>
      </c>
    </row>
    <row r="56" spans="2:20" x14ac:dyDescent="0.3">
      <c r="B56" s="36" t="s">
        <v>32</v>
      </c>
    </row>
    <row r="57" spans="2:20" s="22" customFormat="1" ht="62.4" x14ac:dyDescent="0.3">
      <c r="B57" s="88" t="s">
        <v>125</v>
      </c>
      <c r="C57" s="88" t="s">
        <v>25</v>
      </c>
      <c r="D57" s="88" t="s">
        <v>126</v>
      </c>
      <c r="E57" s="88" t="s">
        <v>127</v>
      </c>
      <c r="F57" s="88" t="s">
        <v>128</v>
      </c>
      <c r="G57" s="20">
        <v>1</v>
      </c>
      <c r="H57" s="20">
        <f t="shared" ref="H57:R57" si="10">G57+1</f>
        <v>2</v>
      </c>
      <c r="I57" s="16">
        <f t="shared" si="10"/>
        <v>3</v>
      </c>
      <c r="J57" s="16">
        <f t="shared" si="10"/>
        <v>4</v>
      </c>
      <c r="K57" s="16">
        <f t="shared" si="10"/>
        <v>5</v>
      </c>
      <c r="L57" s="16">
        <f t="shared" si="10"/>
        <v>6</v>
      </c>
      <c r="M57" s="16">
        <f t="shared" si="10"/>
        <v>7</v>
      </c>
      <c r="N57" s="16">
        <f t="shared" si="10"/>
        <v>8</v>
      </c>
      <c r="O57" s="16">
        <f t="shared" si="10"/>
        <v>9</v>
      </c>
      <c r="P57" s="16">
        <f t="shared" si="10"/>
        <v>10</v>
      </c>
      <c r="Q57" s="16">
        <f t="shared" si="10"/>
        <v>11</v>
      </c>
      <c r="R57" s="16">
        <f t="shared" si="10"/>
        <v>12</v>
      </c>
      <c r="S57"/>
      <c r="T57"/>
    </row>
    <row r="58" spans="2:20" x14ac:dyDescent="0.3">
      <c r="B58" s="23" t="s">
        <v>130</v>
      </c>
      <c r="C58" s="23" t="s">
        <v>26</v>
      </c>
      <c r="D58" s="23" t="s">
        <v>117</v>
      </c>
      <c r="E58" s="90">
        <v>2</v>
      </c>
      <c r="F58" s="89">
        <v>0.1</v>
      </c>
      <c r="G58" s="90">
        <v>1</v>
      </c>
      <c r="H58" s="90">
        <v>2</v>
      </c>
      <c r="I58" s="24">
        <f t="shared" ref="I58:I63" si="11">ROUNDUP($E58*E$40,0)</f>
        <v>2</v>
      </c>
      <c r="J58" s="24">
        <f t="shared" ref="J58:R63" si="12">ROUNDUP(($E58*F$40)*(1+$F58),0)</f>
        <v>5</v>
      </c>
      <c r="K58" s="24">
        <f t="shared" si="12"/>
        <v>7</v>
      </c>
      <c r="L58" s="24">
        <f t="shared" si="12"/>
        <v>7</v>
      </c>
      <c r="M58" s="24">
        <f t="shared" si="12"/>
        <v>9</v>
      </c>
      <c r="N58" s="24">
        <f t="shared" si="12"/>
        <v>11</v>
      </c>
      <c r="O58" s="24">
        <f t="shared" si="12"/>
        <v>14</v>
      </c>
      <c r="P58" s="24">
        <f t="shared" si="12"/>
        <v>14</v>
      </c>
      <c r="Q58" s="24">
        <f t="shared" si="12"/>
        <v>16</v>
      </c>
      <c r="R58" s="24">
        <f t="shared" si="12"/>
        <v>18</v>
      </c>
    </row>
    <row r="59" spans="2:20" x14ac:dyDescent="0.3">
      <c r="B59" s="23" t="s">
        <v>130</v>
      </c>
      <c r="C59" s="23" t="s">
        <v>27</v>
      </c>
      <c r="D59" s="23" t="s">
        <v>117</v>
      </c>
      <c r="E59" s="90">
        <v>8</v>
      </c>
      <c r="F59" s="89">
        <v>0.1</v>
      </c>
      <c r="G59" s="89"/>
      <c r="H59" s="89"/>
      <c r="I59" s="24">
        <f t="shared" si="11"/>
        <v>8</v>
      </c>
      <c r="J59" s="24">
        <f t="shared" si="12"/>
        <v>18</v>
      </c>
      <c r="K59" s="24">
        <f t="shared" si="12"/>
        <v>27</v>
      </c>
      <c r="L59" s="24">
        <f t="shared" si="12"/>
        <v>27</v>
      </c>
      <c r="M59" s="24">
        <f t="shared" si="12"/>
        <v>36</v>
      </c>
      <c r="N59" s="24">
        <f t="shared" si="12"/>
        <v>44</v>
      </c>
      <c r="O59" s="24">
        <f t="shared" si="12"/>
        <v>53</v>
      </c>
      <c r="P59" s="24">
        <f t="shared" si="12"/>
        <v>53</v>
      </c>
      <c r="Q59" s="24">
        <f t="shared" si="12"/>
        <v>62</v>
      </c>
      <c r="R59" s="24">
        <f t="shared" si="12"/>
        <v>71</v>
      </c>
    </row>
    <row r="60" spans="2:20" x14ac:dyDescent="0.3">
      <c r="B60" s="23" t="s">
        <v>130</v>
      </c>
      <c r="C60" s="23" t="s">
        <v>28</v>
      </c>
      <c r="D60" s="23" t="s">
        <v>116</v>
      </c>
      <c r="E60" s="90"/>
      <c r="F60" s="89">
        <v>0.1</v>
      </c>
      <c r="G60" s="89"/>
      <c r="H60" s="89"/>
      <c r="I60" s="24">
        <f t="shared" si="11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 s="24">
        <f t="shared" si="12"/>
        <v>0</v>
      </c>
      <c r="N60" s="24">
        <f t="shared" si="12"/>
        <v>0</v>
      </c>
      <c r="O60" s="24">
        <f t="shared" si="12"/>
        <v>0</v>
      </c>
      <c r="P60" s="24">
        <f t="shared" si="12"/>
        <v>0</v>
      </c>
      <c r="Q60" s="24">
        <f t="shared" si="12"/>
        <v>0</v>
      </c>
      <c r="R60" s="24">
        <f t="shared" si="12"/>
        <v>0</v>
      </c>
    </row>
    <row r="61" spans="2:20" x14ac:dyDescent="0.3">
      <c r="B61" s="23" t="s">
        <v>130</v>
      </c>
      <c r="C61" s="23" t="s">
        <v>29</v>
      </c>
      <c r="D61" s="23" t="s">
        <v>116</v>
      </c>
      <c r="E61" s="90">
        <v>10</v>
      </c>
      <c r="F61" s="89">
        <v>0.1</v>
      </c>
      <c r="G61" s="89"/>
      <c r="H61" s="89"/>
      <c r="I61" s="24">
        <f t="shared" si="11"/>
        <v>10</v>
      </c>
      <c r="J61" s="24">
        <f t="shared" si="12"/>
        <v>22</v>
      </c>
      <c r="K61" s="24">
        <f t="shared" si="12"/>
        <v>33</v>
      </c>
      <c r="L61" s="24">
        <f t="shared" si="12"/>
        <v>33</v>
      </c>
      <c r="M61" s="24">
        <f t="shared" si="12"/>
        <v>44</v>
      </c>
      <c r="N61" s="24">
        <f t="shared" si="12"/>
        <v>55</v>
      </c>
      <c r="O61" s="24">
        <f t="shared" si="12"/>
        <v>66</v>
      </c>
      <c r="P61" s="24">
        <f t="shared" si="12"/>
        <v>66</v>
      </c>
      <c r="Q61" s="24">
        <f t="shared" si="12"/>
        <v>77</v>
      </c>
      <c r="R61" s="24">
        <f t="shared" si="12"/>
        <v>88</v>
      </c>
    </row>
    <row r="62" spans="2:20" x14ac:dyDescent="0.3">
      <c r="B62" s="23" t="s">
        <v>130</v>
      </c>
      <c r="C62" s="23" t="s">
        <v>30</v>
      </c>
      <c r="D62" s="23" t="s">
        <v>116</v>
      </c>
      <c r="E62" s="90"/>
      <c r="F62" s="89">
        <v>0.1</v>
      </c>
      <c r="G62" s="89"/>
      <c r="H62" s="89"/>
      <c r="I62" s="24">
        <f t="shared" si="11"/>
        <v>0</v>
      </c>
      <c r="J62" s="24">
        <f t="shared" si="12"/>
        <v>0</v>
      </c>
      <c r="K62" s="24">
        <f t="shared" si="12"/>
        <v>0</v>
      </c>
      <c r="L62" s="24">
        <f t="shared" si="12"/>
        <v>0</v>
      </c>
      <c r="M62" s="24">
        <f t="shared" si="12"/>
        <v>0</v>
      </c>
      <c r="N62" s="24">
        <f t="shared" si="12"/>
        <v>0</v>
      </c>
      <c r="O62" s="24">
        <f t="shared" si="12"/>
        <v>0</v>
      </c>
      <c r="P62" s="24">
        <f t="shared" si="12"/>
        <v>0</v>
      </c>
      <c r="Q62" s="24">
        <f t="shared" si="12"/>
        <v>0</v>
      </c>
      <c r="R62" s="24">
        <f t="shared" si="12"/>
        <v>0</v>
      </c>
    </row>
    <row r="63" spans="2:20" x14ac:dyDescent="0.3">
      <c r="B63" s="23" t="s">
        <v>130</v>
      </c>
      <c r="C63" s="23" t="s">
        <v>31</v>
      </c>
      <c r="D63" s="23" t="s">
        <v>116</v>
      </c>
      <c r="E63" s="90"/>
      <c r="F63" s="89">
        <v>0.1</v>
      </c>
      <c r="G63" s="89"/>
      <c r="H63" s="89"/>
      <c r="I63" s="24">
        <f t="shared" si="11"/>
        <v>0</v>
      </c>
      <c r="J63" s="24">
        <f t="shared" si="12"/>
        <v>0</v>
      </c>
      <c r="K63" s="24">
        <f t="shared" si="12"/>
        <v>0</v>
      </c>
      <c r="L63" s="24">
        <f t="shared" si="12"/>
        <v>0</v>
      </c>
      <c r="M63" s="24">
        <f t="shared" si="12"/>
        <v>0</v>
      </c>
      <c r="N63" s="24">
        <f t="shared" si="12"/>
        <v>0</v>
      </c>
      <c r="O63" s="24">
        <f t="shared" si="12"/>
        <v>0</v>
      </c>
      <c r="P63" s="24">
        <f t="shared" si="12"/>
        <v>0</v>
      </c>
      <c r="Q63" s="24">
        <f t="shared" si="12"/>
        <v>0</v>
      </c>
      <c r="R63" s="24">
        <f t="shared" si="12"/>
        <v>0</v>
      </c>
    </row>
    <row r="64" spans="2:20" x14ac:dyDescent="0.3">
      <c r="E64" s="91">
        <f>SUM(E58:E63)</f>
        <v>20</v>
      </c>
      <c r="G64" s="25">
        <f t="shared" ref="G64:H64" si="13">SUM(G58:G63)</f>
        <v>1</v>
      </c>
      <c r="H64" s="25">
        <f t="shared" si="13"/>
        <v>2</v>
      </c>
      <c r="I64" s="25">
        <f t="shared" ref="I64:R64" si="14">SUM(I58:I63)</f>
        <v>20</v>
      </c>
      <c r="J64" s="25">
        <f t="shared" si="14"/>
        <v>45</v>
      </c>
      <c r="K64" s="25">
        <f t="shared" si="14"/>
        <v>67</v>
      </c>
      <c r="L64" s="25">
        <f t="shared" si="14"/>
        <v>67</v>
      </c>
      <c r="M64" s="25">
        <f t="shared" si="14"/>
        <v>89</v>
      </c>
      <c r="N64" s="25">
        <f t="shared" si="14"/>
        <v>110</v>
      </c>
      <c r="O64" s="25">
        <f t="shared" si="14"/>
        <v>133</v>
      </c>
      <c r="P64" s="25">
        <f t="shared" si="14"/>
        <v>133</v>
      </c>
      <c r="Q64" s="25">
        <f t="shared" si="14"/>
        <v>155</v>
      </c>
      <c r="R64" s="25">
        <f t="shared" si="14"/>
        <v>177</v>
      </c>
    </row>
    <row r="66" spans="2:18" ht="18" x14ac:dyDescent="0.35">
      <c r="B66" s="8" t="s">
        <v>131</v>
      </c>
    </row>
    <row r="68" spans="2:18" s="36" customFormat="1" ht="16.2" thickBot="1" x14ac:dyDescent="0.35">
      <c r="B68" s="36" t="s">
        <v>24</v>
      </c>
      <c r="G68" s="20">
        <v>1</v>
      </c>
      <c r="H68" s="20">
        <f t="shared" ref="H68:R68" si="15">G68+1</f>
        <v>2</v>
      </c>
      <c r="I68" s="16">
        <f t="shared" si="15"/>
        <v>3</v>
      </c>
      <c r="J68" s="16">
        <f t="shared" si="15"/>
        <v>4</v>
      </c>
      <c r="K68" s="16">
        <f t="shared" si="15"/>
        <v>5</v>
      </c>
      <c r="L68" s="16">
        <f t="shared" si="15"/>
        <v>6</v>
      </c>
      <c r="M68" s="16">
        <f t="shared" si="15"/>
        <v>7</v>
      </c>
      <c r="N68" s="16">
        <f t="shared" si="15"/>
        <v>8</v>
      </c>
      <c r="O68" s="16">
        <f t="shared" si="15"/>
        <v>9</v>
      </c>
      <c r="P68" s="16">
        <f t="shared" si="15"/>
        <v>10</v>
      </c>
      <c r="Q68" s="16">
        <f t="shared" si="15"/>
        <v>11</v>
      </c>
      <c r="R68" s="16">
        <f t="shared" si="15"/>
        <v>12</v>
      </c>
    </row>
    <row r="69" spans="2:18" x14ac:dyDescent="0.3">
      <c r="B69" s="92" t="s">
        <v>132</v>
      </c>
      <c r="C69" s="93" t="s">
        <v>38</v>
      </c>
      <c r="D69" s="94" t="s">
        <v>133</v>
      </c>
      <c r="E69" s="95">
        <f>'[1]customer pricing'!$C$14</f>
        <v>0.15</v>
      </c>
      <c r="F69" s="96">
        <f>$C$5</f>
        <v>8000</v>
      </c>
      <c r="G69" s="23"/>
      <c r="H69" s="23"/>
      <c r="I69" s="47">
        <f t="shared" ref="I69:R74" si="16">$E69*$F69*I$48</f>
        <v>0</v>
      </c>
      <c r="J69" s="47">
        <f t="shared" si="16"/>
        <v>0</v>
      </c>
      <c r="K69" s="47">
        <f t="shared" si="16"/>
        <v>0</v>
      </c>
      <c r="L69" s="47">
        <f t="shared" si="16"/>
        <v>2400</v>
      </c>
      <c r="M69" s="47">
        <f t="shared" si="16"/>
        <v>2400</v>
      </c>
      <c r="N69" s="47">
        <f t="shared" si="16"/>
        <v>2400</v>
      </c>
      <c r="O69" s="47">
        <f t="shared" si="16"/>
        <v>2400</v>
      </c>
      <c r="P69" s="47">
        <f t="shared" si="16"/>
        <v>3600</v>
      </c>
      <c r="Q69" s="47">
        <f t="shared" si="16"/>
        <v>3600</v>
      </c>
      <c r="R69" s="47">
        <f t="shared" si="16"/>
        <v>3600</v>
      </c>
    </row>
    <row r="70" spans="2:18" x14ac:dyDescent="0.3">
      <c r="B70" s="97" t="s">
        <v>132</v>
      </c>
      <c r="C70" s="98"/>
      <c r="D70" s="21" t="s">
        <v>134</v>
      </c>
      <c r="E70" s="99">
        <f>'[1]customer pricing'!$D$14</f>
        <v>0.25</v>
      </c>
      <c r="F70" s="100">
        <f>$D$5</f>
        <v>10000</v>
      </c>
      <c r="G70" s="23"/>
      <c r="H70" s="23"/>
      <c r="I70" s="47">
        <f t="shared" si="16"/>
        <v>0</v>
      </c>
      <c r="J70" s="47">
        <f t="shared" si="16"/>
        <v>0</v>
      </c>
      <c r="K70" s="47">
        <f t="shared" si="16"/>
        <v>0</v>
      </c>
      <c r="L70" s="47">
        <f t="shared" si="16"/>
        <v>5000</v>
      </c>
      <c r="M70" s="47">
        <f t="shared" si="16"/>
        <v>5000</v>
      </c>
      <c r="N70" s="47">
        <f t="shared" si="16"/>
        <v>5000</v>
      </c>
      <c r="O70" s="47">
        <f t="shared" si="16"/>
        <v>5000</v>
      </c>
      <c r="P70" s="47">
        <f t="shared" si="16"/>
        <v>7500</v>
      </c>
      <c r="Q70" s="47">
        <f t="shared" si="16"/>
        <v>7500</v>
      </c>
      <c r="R70" s="47">
        <f t="shared" si="16"/>
        <v>7500</v>
      </c>
    </row>
    <row r="71" spans="2:18" x14ac:dyDescent="0.3">
      <c r="B71" s="97" t="s">
        <v>132</v>
      </c>
      <c r="C71" s="98"/>
      <c r="D71" s="21" t="s">
        <v>135</v>
      </c>
      <c r="E71" s="99">
        <f>'[1]customer pricing'!$E$14</f>
        <v>0.1</v>
      </c>
      <c r="F71" s="100">
        <f>$E$5</f>
        <v>12000</v>
      </c>
      <c r="G71" s="23"/>
      <c r="H71" s="23"/>
      <c r="I71" s="47">
        <f t="shared" si="16"/>
        <v>0</v>
      </c>
      <c r="J71" s="47">
        <f t="shared" si="16"/>
        <v>0</v>
      </c>
      <c r="K71" s="47">
        <f t="shared" si="16"/>
        <v>0</v>
      </c>
      <c r="L71" s="47">
        <f t="shared" si="16"/>
        <v>2400</v>
      </c>
      <c r="M71" s="47">
        <f t="shared" si="16"/>
        <v>2400</v>
      </c>
      <c r="N71" s="47">
        <f t="shared" si="16"/>
        <v>2400</v>
      </c>
      <c r="O71" s="47">
        <f t="shared" si="16"/>
        <v>2400</v>
      </c>
      <c r="P71" s="47">
        <f t="shared" si="16"/>
        <v>3600</v>
      </c>
      <c r="Q71" s="47">
        <f t="shared" si="16"/>
        <v>3600</v>
      </c>
      <c r="R71" s="47">
        <f t="shared" si="16"/>
        <v>3600</v>
      </c>
    </row>
    <row r="72" spans="2:18" x14ac:dyDescent="0.3">
      <c r="B72" s="97" t="s">
        <v>132</v>
      </c>
      <c r="C72" s="98" t="s">
        <v>136</v>
      </c>
      <c r="D72" s="21" t="s">
        <v>133</v>
      </c>
      <c r="E72" s="99">
        <f>'[1]customer pricing'!$C$15</f>
        <v>0.15</v>
      </c>
      <c r="F72" s="100">
        <f>$C$6</f>
        <v>10000</v>
      </c>
      <c r="G72" s="23"/>
      <c r="H72" s="23"/>
      <c r="I72" s="47">
        <f t="shared" si="16"/>
        <v>0</v>
      </c>
      <c r="J72" s="47">
        <f t="shared" si="16"/>
        <v>0</v>
      </c>
      <c r="K72" s="47">
        <f t="shared" si="16"/>
        <v>0</v>
      </c>
      <c r="L72" s="47">
        <f t="shared" si="16"/>
        <v>3000</v>
      </c>
      <c r="M72" s="47">
        <f t="shared" si="16"/>
        <v>3000</v>
      </c>
      <c r="N72" s="47">
        <f t="shared" si="16"/>
        <v>3000</v>
      </c>
      <c r="O72" s="47">
        <f t="shared" si="16"/>
        <v>3000</v>
      </c>
      <c r="P72" s="47">
        <f t="shared" si="16"/>
        <v>4500</v>
      </c>
      <c r="Q72" s="47">
        <f t="shared" si="16"/>
        <v>4500</v>
      </c>
      <c r="R72" s="47">
        <f t="shared" si="16"/>
        <v>4500</v>
      </c>
    </row>
    <row r="73" spans="2:18" x14ac:dyDescent="0.3">
      <c r="B73" s="97" t="s">
        <v>132</v>
      </c>
      <c r="C73" s="98"/>
      <c r="D73" s="21" t="s">
        <v>134</v>
      </c>
      <c r="E73" s="99">
        <f>'[1]customer pricing'!$D$15</f>
        <v>0.25</v>
      </c>
      <c r="F73" s="100">
        <f>$D$6</f>
        <v>12500</v>
      </c>
      <c r="G73" s="23"/>
      <c r="H73" s="23"/>
      <c r="I73" s="47">
        <f t="shared" si="16"/>
        <v>0</v>
      </c>
      <c r="J73" s="47">
        <f t="shared" si="16"/>
        <v>0</v>
      </c>
      <c r="K73" s="47">
        <f t="shared" si="16"/>
        <v>0</v>
      </c>
      <c r="L73" s="47">
        <f t="shared" si="16"/>
        <v>6250</v>
      </c>
      <c r="M73" s="47">
        <f t="shared" si="16"/>
        <v>6250</v>
      </c>
      <c r="N73" s="47">
        <f t="shared" si="16"/>
        <v>6250</v>
      </c>
      <c r="O73" s="47">
        <f t="shared" si="16"/>
        <v>6250</v>
      </c>
      <c r="P73" s="47">
        <f t="shared" si="16"/>
        <v>9375</v>
      </c>
      <c r="Q73" s="47">
        <f t="shared" si="16"/>
        <v>9375</v>
      </c>
      <c r="R73" s="47">
        <f t="shared" si="16"/>
        <v>9375</v>
      </c>
    </row>
    <row r="74" spans="2:18" ht="16.2" thickBot="1" x14ac:dyDescent="0.35">
      <c r="B74" s="101" t="s">
        <v>132</v>
      </c>
      <c r="C74" s="102"/>
      <c r="D74" s="102" t="s">
        <v>135</v>
      </c>
      <c r="E74" s="103">
        <f>'[1]customer pricing'!$E$15</f>
        <v>0.1</v>
      </c>
      <c r="F74" s="104">
        <f>$E$6</f>
        <v>15000</v>
      </c>
      <c r="G74" s="23"/>
      <c r="H74" s="23"/>
      <c r="I74" s="47">
        <f t="shared" si="16"/>
        <v>0</v>
      </c>
      <c r="J74" s="47">
        <f t="shared" si="16"/>
        <v>0</v>
      </c>
      <c r="K74" s="47">
        <f t="shared" si="16"/>
        <v>0</v>
      </c>
      <c r="L74" s="47">
        <f t="shared" si="16"/>
        <v>3000</v>
      </c>
      <c r="M74" s="47">
        <f t="shared" si="16"/>
        <v>3000</v>
      </c>
      <c r="N74" s="47">
        <f t="shared" si="16"/>
        <v>3000</v>
      </c>
      <c r="O74" s="47">
        <f t="shared" si="16"/>
        <v>3000</v>
      </c>
      <c r="P74" s="47">
        <f t="shared" si="16"/>
        <v>4500</v>
      </c>
      <c r="Q74" s="47">
        <f t="shared" si="16"/>
        <v>4500</v>
      </c>
      <c r="R74" s="47">
        <f t="shared" si="16"/>
        <v>4500</v>
      </c>
    </row>
    <row r="75" spans="2:18" x14ac:dyDescent="0.3">
      <c r="B75" s="92" t="s">
        <v>27</v>
      </c>
      <c r="C75" s="93" t="s">
        <v>38</v>
      </c>
      <c r="D75" s="94" t="s">
        <v>133</v>
      </c>
      <c r="E75" s="95">
        <f>'[1]customer pricing'!$C$14</f>
        <v>0.15</v>
      </c>
      <c r="F75" s="96">
        <f>$C$5</f>
        <v>8000</v>
      </c>
      <c r="G75" s="23"/>
      <c r="H75" s="23"/>
      <c r="I75" s="71">
        <f t="shared" ref="I75:R80" si="17">$E75*$F75*I$49</f>
        <v>0</v>
      </c>
      <c r="J75" s="71">
        <f t="shared" si="17"/>
        <v>0</v>
      </c>
      <c r="K75" s="71">
        <f t="shared" si="17"/>
        <v>0</v>
      </c>
      <c r="L75" s="71">
        <f t="shared" si="17"/>
        <v>8400</v>
      </c>
      <c r="M75" s="71">
        <f t="shared" si="17"/>
        <v>8400</v>
      </c>
      <c r="N75" s="71">
        <f t="shared" si="17"/>
        <v>8400</v>
      </c>
      <c r="O75" s="71">
        <f t="shared" si="17"/>
        <v>8400</v>
      </c>
      <c r="P75" s="71">
        <f t="shared" si="17"/>
        <v>16800</v>
      </c>
      <c r="Q75" s="71">
        <f t="shared" si="17"/>
        <v>16800</v>
      </c>
      <c r="R75" s="71">
        <f t="shared" si="17"/>
        <v>16800</v>
      </c>
    </row>
    <row r="76" spans="2:18" x14ac:dyDescent="0.3">
      <c r="B76" s="97" t="s">
        <v>27</v>
      </c>
      <c r="C76" s="98"/>
      <c r="D76" s="21" t="s">
        <v>134</v>
      </c>
      <c r="E76" s="99">
        <f>'[1]customer pricing'!$D$14</f>
        <v>0.25</v>
      </c>
      <c r="F76" s="100">
        <f>$D$5</f>
        <v>10000</v>
      </c>
      <c r="G76" s="23"/>
      <c r="H76" s="23"/>
      <c r="I76" s="71">
        <f t="shared" si="17"/>
        <v>0</v>
      </c>
      <c r="J76" s="71">
        <f t="shared" si="17"/>
        <v>0</v>
      </c>
      <c r="K76" s="71">
        <f t="shared" si="17"/>
        <v>0</v>
      </c>
      <c r="L76" s="71">
        <f t="shared" si="17"/>
        <v>17500</v>
      </c>
      <c r="M76" s="71">
        <f t="shared" si="17"/>
        <v>17500</v>
      </c>
      <c r="N76" s="71">
        <f t="shared" si="17"/>
        <v>17500</v>
      </c>
      <c r="O76" s="71">
        <f t="shared" si="17"/>
        <v>17500</v>
      </c>
      <c r="P76" s="71">
        <f t="shared" si="17"/>
        <v>35000</v>
      </c>
      <c r="Q76" s="71">
        <f t="shared" si="17"/>
        <v>35000</v>
      </c>
      <c r="R76" s="71">
        <f t="shared" si="17"/>
        <v>35000</v>
      </c>
    </row>
    <row r="77" spans="2:18" x14ac:dyDescent="0.3">
      <c r="B77" s="97" t="s">
        <v>27</v>
      </c>
      <c r="C77" s="98"/>
      <c r="D77" s="21" t="s">
        <v>135</v>
      </c>
      <c r="E77" s="99">
        <f>'[1]customer pricing'!$E$14</f>
        <v>0.1</v>
      </c>
      <c r="F77" s="100">
        <f>$E$5</f>
        <v>12000</v>
      </c>
      <c r="G77" s="23"/>
      <c r="H77" s="23"/>
      <c r="I77" s="71">
        <f t="shared" si="17"/>
        <v>0</v>
      </c>
      <c r="J77" s="71">
        <f t="shared" si="17"/>
        <v>0</v>
      </c>
      <c r="K77" s="71">
        <f t="shared" si="17"/>
        <v>0</v>
      </c>
      <c r="L77" s="71">
        <f t="shared" si="17"/>
        <v>8400</v>
      </c>
      <c r="M77" s="71">
        <f t="shared" si="17"/>
        <v>8400</v>
      </c>
      <c r="N77" s="71">
        <f t="shared" si="17"/>
        <v>8400</v>
      </c>
      <c r="O77" s="71">
        <f t="shared" si="17"/>
        <v>8400</v>
      </c>
      <c r="P77" s="71">
        <f t="shared" si="17"/>
        <v>16800</v>
      </c>
      <c r="Q77" s="71">
        <f t="shared" si="17"/>
        <v>16800</v>
      </c>
      <c r="R77" s="71">
        <f t="shared" si="17"/>
        <v>16800</v>
      </c>
    </row>
    <row r="78" spans="2:18" x14ac:dyDescent="0.3">
      <c r="B78" s="97" t="s">
        <v>27</v>
      </c>
      <c r="C78" s="98" t="s">
        <v>136</v>
      </c>
      <c r="D78" s="21" t="s">
        <v>133</v>
      </c>
      <c r="E78" s="99">
        <f>'[1]customer pricing'!$C$15</f>
        <v>0.15</v>
      </c>
      <c r="F78" s="100">
        <f>$C$6</f>
        <v>10000</v>
      </c>
      <c r="G78" s="23"/>
      <c r="H78" s="23"/>
      <c r="I78" s="71">
        <f t="shared" si="17"/>
        <v>0</v>
      </c>
      <c r="J78" s="71">
        <f t="shared" si="17"/>
        <v>0</v>
      </c>
      <c r="K78" s="71">
        <f t="shared" si="17"/>
        <v>0</v>
      </c>
      <c r="L78" s="71">
        <f t="shared" si="17"/>
        <v>10500</v>
      </c>
      <c r="M78" s="71">
        <f t="shared" si="17"/>
        <v>10500</v>
      </c>
      <c r="N78" s="71">
        <f t="shared" si="17"/>
        <v>10500</v>
      </c>
      <c r="O78" s="71">
        <f t="shared" si="17"/>
        <v>10500</v>
      </c>
      <c r="P78" s="71">
        <f t="shared" si="17"/>
        <v>21000</v>
      </c>
      <c r="Q78" s="71">
        <f t="shared" si="17"/>
        <v>21000</v>
      </c>
      <c r="R78" s="71">
        <f t="shared" si="17"/>
        <v>21000</v>
      </c>
    </row>
    <row r="79" spans="2:18" x14ac:dyDescent="0.3">
      <c r="B79" s="97" t="s">
        <v>27</v>
      </c>
      <c r="C79" s="98"/>
      <c r="D79" s="21" t="s">
        <v>134</v>
      </c>
      <c r="E79" s="99">
        <f>'[1]customer pricing'!$D$15</f>
        <v>0.25</v>
      </c>
      <c r="F79" s="100">
        <f>$D$6</f>
        <v>12500</v>
      </c>
      <c r="G79" s="23"/>
      <c r="H79" s="23"/>
      <c r="I79" s="71">
        <f t="shared" si="17"/>
        <v>0</v>
      </c>
      <c r="J79" s="71">
        <f t="shared" si="17"/>
        <v>0</v>
      </c>
      <c r="K79" s="71">
        <f t="shared" si="17"/>
        <v>0</v>
      </c>
      <c r="L79" s="71">
        <f t="shared" si="17"/>
        <v>21875</v>
      </c>
      <c r="M79" s="71">
        <f t="shared" si="17"/>
        <v>21875</v>
      </c>
      <c r="N79" s="71">
        <f t="shared" si="17"/>
        <v>21875</v>
      </c>
      <c r="O79" s="71">
        <f t="shared" si="17"/>
        <v>21875</v>
      </c>
      <c r="P79" s="71">
        <f t="shared" si="17"/>
        <v>43750</v>
      </c>
      <c r="Q79" s="71">
        <f t="shared" si="17"/>
        <v>43750</v>
      </c>
      <c r="R79" s="71">
        <f t="shared" si="17"/>
        <v>43750</v>
      </c>
    </row>
    <row r="80" spans="2:18" ht="16.2" thickBot="1" x14ac:dyDescent="0.35">
      <c r="B80" s="105" t="s">
        <v>27</v>
      </c>
      <c r="C80" s="106"/>
      <c r="D80" s="106" t="s">
        <v>135</v>
      </c>
      <c r="E80" s="107">
        <f>'[1]customer pricing'!$E$15</f>
        <v>0.1</v>
      </c>
      <c r="F80" s="108">
        <f>$E$6</f>
        <v>15000</v>
      </c>
      <c r="G80" s="23"/>
      <c r="H80" s="23"/>
      <c r="I80" s="109">
        <f t="shared" si="17"/>
        <v>0</v>
      </c>
      <c r="J80" s="71">
        <f t="shared" si="17"/>
        <v>0</v>
      </c>
      <c r="K80" s="71">
        <f t="shared" si="17"/>
        <v>0</v>
      </c>
      <c r="L80" s="71">
        <f t="shared" si="17"/>
        <v>10500</v>
      </c>
      <c r="M80" s="71">
        <f t="shared" si="17"/>
        <v>10500</v>
      </c>
      <c r="N80" s="71">
        <f t="shared" si="17"/>
        <v>10500</v>
      </c>
      <c r="O80" s="71">
        <f t="shared" si="17"/>
        <v>10500</v>
      </c>
      <c r="P80" s="71">
        <f t="shared" si="17"/>
        <v>21000</v>
      </c>
      <c r="Q80" s="71">
        <f t="shared" si="17"/>
        <v>21000</v>
      </c>
      <c r="R80" s="71">
        <f t="shared" si="17"/>
        <v>21000</v>
      </c>
    </row>
    <row r="81" spans="2:18" x14ac:dyDescent="0.3">
      <c r="B81" s="110" t="s">
        <v>28</v>
      </c>
      <c r="C81" s="93" t="s">
        <v>38</v>
      </c>
      <c r="D81" s="94" t="s">
        <v>133</v>
      </c>
      <c r="E81" s="95">
        <f>'[1]customer pricing'!$C$14</f>
        <v>0.15</v>
      </c>
      <c r="F81" s="96">
        <f>$C$5</f>
        <v>8000</v>
      </c>
      <c r="G81" s="23"/>
      <c r="H81" s="23"/>
      <c r="I81" s="47">
        <f t="shared" ref="I81:R86" si="18">$E81*$F81*I$50</f>
        <v>0</v>
      </c>
      <c r="J81" s="47">
        <f t="shared" si="18"/>
        <v>0</v>
      </c>
      <c r="K81" s="47">
        <f t="shared" si="18"/>
        <v>0</v>
      </c>
      <c r="L81" s="47">
        <f t="shared" si="18"/>
        <v>0</v>
      </c>
      <c r="M81" s="47">
        <f t="shared" si="18"/>
        <v>0</v>
      </c>
      <c r="N81" s="47">
        <f t="shared" si="18"/>
        <v>0</v>
      </c>
      <c r="O81" s="47">
        <f t="shared" si="18"/>
        <v>0</v>
      </c>
      <c r="P81" s="47">
        <f t="shared" si="18"/>
        <v>0</v>
      </c>
      <c r="Q81" s="47">
        <f t="shared" si="18"/>
        <v>0</v>
      </c>
      <c r="R81" s="47">
        <f t="shared" si="18"/>
        <v>0</v>
      </c>
    </row>
    <row r="82" spans="2:18" x14ac:dyDescent="0.3">
      <c r="B82" s="97" t="s">
        <v>28</v>
      </c>
      <c r="C82" s="98"/>
      <c r="D82" s="21" t="s">
        <v>134</v>
      </c>
      <c r="E82" s="99">
        <f>'[1]customer pricing'!$D$14</f>
        <v>0.25</v>
      </c>
      <c r="F82" s="100">
        <f>$D$5</f>
        <v>10000</v>
      </c>
      <c r="G82" s="23"/>
      <c r="H82" s="23"/>
      <c r="I82" s="47">
        <f t="shared" si="18"/>
        <v>0</v>
      </c>
      <c r="J82" s="47">
        <f t="shared" si="18"/>
        <v>0</v>
      </c>
      <c r="K82" s="47">
        <f t="shared" si="18"/>
        <v>0</v>
      </c>
      <c r="L82" s="47">
        <f t="shared" si="18"/>
        <v>0</v>
      </c>
      <c r="M82" s="47">
        <f t="shared" si="18"/>
        <v>0</v>
      </c>
      <c r="N82" s="47">
        <f t="shared" si="18"/>
        <v>0</v>
      </c>
      <c r="O82" s="47">
        <f t="shared" si="18"/>
        <v>0</v>
      </c>
      <c r="P82" s="47">
        <f t="shared" si="18"/>
        <v>0</v>
      </c>
      <c r="Q82" s="47">
        <f t="shared" si="18"/>
        <v>0</v>
      </c>
      <c r="R82" s="47">
        <f t="shared" si="18"/>
        <v>0</v>
      </c>
    </row>
    <row r="83" spans="2:18" x14ac:dyDescent="0.3">
      <c r="B83" s="97" t="s">
        <v>28</v>
      </c>
      <c r="C83" s="98"/>
      <c r="D83" s="21" t="s">
        <v>135</v>
      </c>
      <c r="E83" s="99">
        <f>'[1]customer pricing'!$E$14</f>
        <v>0.1</v>
      </c>
      <c r="F83" s="100">
        <f>$E$5</f>
        <v>12000</v>
      </c>
      <c r="G83" s="23"/>
      <c r="H83" s="23"/>
      <c r="I83" s="47">
        <f t="shared" si="18"/>
        <v>0</v>
      </c>
      <c r="J83" s="47">
        <f t="shared" si="18"/>
        <v>0</v>
      </c>
      <c r="K83" s="47">
        <f t="shared" si="18"/>
        <v>0</v>
      </c>
      <c r="L83" s="47">
        <f t="shared" si="18"/>
        <v>0</v>
      </c>
      <c r="M83" s="47">
        <f t="shared" si="18"/>
        <v>0</v>
      </c>
      <c r="N83" s="47">
        <f t="shared" si="18"/>
        <v>0</v>
      </c>
      <c r="O83" s="47">
        <f t="shared" si="18"/>
        <v>0</v>
      </c>
      <c r="P83" s="47">
        <f t="shared" si="18"/>
        <v>0</v>
      </c>
      <c r="Q83" s="47">
        <f t="shared" si="18"/>
        <v>0</v>
      </c>
      <c r="R83" s="47">
        <f t="shared" si="18"/>
        <v>0</v>
      </c>
    </row>
    <row r="84" spans="2:18" x14ac:dyDescent="0.3">
      <c r="B84" s="97" t="s">
        <v>28</v>
      </c>
      <c r="C84" s="98" t="s">
        <v>136</v>
      </c>
      <c r="D84" s="21" t="s">
        <v>133</v>
      </c>
      <c r="E84" s="99">
        <f>'[1]customer pricing'!$C$15</f>
        <v>0.15</v>
      </c>
      <c r="F84" s="100">
        <f>$C$6</f>
        <v>10000</v>
      </c>
      <c r="G84" s="23"/>
      <c r="H84" s="23"/>
      <c r="I84" s="47">
        <f t="shared" si="18"/>
        <v>0</v>
      </c>
      <c r="J84" s="47">
        <f t="shared" si="18"/>
        <v>0</v>
      </c>
      <c r="K84" s="47">
        <f t="shared" si="18"/>
        <v>0</v>
      </c>
      <c r="L84" s="47">
        <f t="shared" si="18"/>
        <v>0</v>
      </c>
      <c r="M84" s="47">
        <f t="shared" si="18"/>
        <v>0</v>
      </c>
      <c r="N84" s="47">
        <f t="shared" si="18"/>
        <v>0</v>
      </c>
      <c r="O84" s="47">
        <f t="shared" si="18"/>
        <v>0</v>
      </c>
      <c r="P84" s="47">
        <f t="shared" si="18"/>
        <v>0</v>
      </c>
      <c r="Q84" s="47">
        <f t="shared" si="18"/>
        <v>0</v>
      </c>
      <c r="R84" s="47">
        <f t="shared" si="18"/>
        <v>0</v>
      </c>
    </row>
    <row r="85" spans="2:18" x14ac:dyDescent="0.3">
      <c r="B85" s="97" t="s">
        <v>28</v>
      </c>
      <c r="C85" s="98"/>
      <c r="D85" s="21" t="s">
        <v>134</v>
      </c>
      <c r="E85" s="99">
        <f>'[1]customer pricing'!$D$15</f>
        <v>0.25</v>
      </c>
      <c r="F85" s="100">
        <f>$D$6</f>
        <v>12500</v>
      </c>
      <c r="G85" s="23"/>
      <c r="H85" s="23"/>
      <c r="I85" s="47">
        <f t="shared" si="18"/>
        <v>0</v>
      </c>
      <c r="J85" s="47">
        <f t="shared" si="18"/>
        <v>0</v>
      </c>
      <c r="K85" s="47">
        <f t="shared" si="18"/>
        <v>0</v>
      </c>
      <c r="L85" s="47">
        <f t="shared" si="18"/>
        <v>0</v>
      </c>
      <c r="M85" s="47">
        <f t="shared" si="18"/>
        <v>0</v>
      </c>
      <c r="N85" s="47">
        <f t="shared" si="18"/>
        <v>0</v>
      </c>
      <c r="O85" s="47">
        <f t="shared" si="18"/>
        <v>0</v>
      </c>
      <c r="P85" s="47">
        <f t="shared" si="18"/>
        <v>0</v>
      </c>
      <c r="Q85" s="47">
        <f t="shared" si="18"/>
        <v>0</v>
      </c>
      <c r="R85" s="47">
        <f t="shared" si="18"/>
        <v>0</v>
      </c>
    </row>
    <row r="86" spans="2:18" ht="16.2" thickBot="1" x14ac:dyDescent="0.35">
      <c r="B86" s="101" t="s">
        <v>28</v>
      </c>
      <c r="C86" s="102"/>
      <c r="D86" s="102" t="s">
        <v>135</v>
      </c>
      <c r="E86" s="107">
        <f>'[1]customer pricing'!$E$15</f>
        <v>0.1</v>
      </c>
      <c r="F86" s="108">
        <f>$E$6</f>
        <v>15000</v>
      </c>
      <c r="G86" s="23"/>
      <c r="H86" s="23"/>
      <c r="I86" s="47">
        <f t="shared" si="18"/>
        <v>0</v>
      </c>
      <c r="J86" s="47">
        <f t="shared" si="18"/>
        <v>0</v>
      </c>
      <c r="K86" s="47">
        <f t="shared" si="18"/>
        <v>0</v>
      </c>
      <c r="L86" s="47">
        <f t="shared" si="18"/>
        <v>0</v>
      </c>
      <c r="M86" s="47">
        <f t="shared" si="18"/>
        <v>0</v>
      </c>
      <c r="N86" s="47">
        <f t="shared" si="18"/>
        <v>0</v>
      </c>
      <c r="O86" s="47">
        <f t="shared" si="18"/>
        <v>0</v>
      </c>
      <c r="P86" s="47">
        <f t="shared" si="18"/>
        <v>0</v>
      </c>
      <c r="Q86" s="47">
        <f t="shared" si="18"/>
        <v>0</v>
      </c>
      <c r="R86" s="47">
        <f t="shared" si="18"/>
        <v>0</v>
      </c>
    </row>
    <row r="87" spans="2:18" x14ac:dyDescent="0.3">
      <c r="B87" s="110" t="s">
        <v>29</v>
      </c>
      <c r="C87" s="93" t="s">
        <v>38</v>
      </c>
      <c r="D87" s="94" t="s">
        <v>133</v>
      </c>
      <c r="E87" s="95">
        <f>'[1]customer pricing'!$C$14</f>
        <v>0.15</v>
      </c>
      <c r="F87" s="96">
        <f>$C$5</f>
        <v>8000</v>
      </c>
      <c r="G87" s="23"/>
      <c r="H87" s="23"/>
      <c r="I87" s="71">
        <f t="shared" ref="I87:R92" si="19">$E87*$F87*I$51</f>
        <v>0</v>
      </c>
      <c r="J87" s="71">
        <f t="shared" si="19"/>
        <v>0</v>
      </c>
      <c r="K87" s="71">
        <f t="shared" si="19"/>
        <v>0</v>
      </c>
      <c r="L87" s="71">
        <f t="shared" si="19"/>
        <v>6000</v>
      </c>
      <c r="M87" s="71">
        <f t="shared" si="19"/>
        <v>6000</v>
      </c>
      <c r="N87" s="71">
        <f t="shared" si="19"/>
        <v>6000</v>
      </c>
      <c r="O87" s="71">
        <f t="shared" si="19"/>
        <v>6000</v>
      </c>
      <c r="P87" s="71">
        <f t="shared" si="19"/>
        <v>10800</v>
      </c>
      <c r="Q87" s="71">
        <f t="shared" si="19"/>
        <v>10800</v>
      </c>
      <c r="R87" s="71">
        <f t="shared" si="19"/>
        <v>10800</v>
      </c>
    </row>
    <row r="88" spans="2:18" x14ac:dyDescent="0.3">
      <c r="B88" s="97" t="s">
        <v>29</v>
      </c>
      <c r="C88" s="98"/>
      <c r="D88" s="21" t="s">
        <v>134</v>
      </c>
      <c r="E88" s="99">
        <f>'[1]customer pricing'!$D$14</f>
        <v>0.25</v>
      </c>
      <c r="F88" s="100">
        <f>$D$5</f>
        <v>10000</v>
      </c>
      <c r="G88" s="56"/>
      <c r="H88" s="56"/>
      <c r="I88" s="71">
        <f t="shared" si="19"/>
        <v>0</v>
      </c>
      <c r="J88" s="71">
        <f t="shared" si="19"/>
        <v>0</v>
      </c>
      <c r="K88" s="71">
        <f t="shared" si="19"/>
        <v>0</v>
      </c>
      <c r="L88" s="71">
        <f t="shared" si="19"/>
        <v>12500</v>
      </c>
      <c r="M88" s="71">
        <f t="shared" si="19"/>
        <v>12500</v>
      </c>
      <c r="N88" s="71">
        <f t="shared" si="19"/>
        <v>12500</v>
      </c>
      <c r="O88" s="71">
        <f t="shared" si="19"/>
        <v>12500</v>
      </c>
      <c r="P88" s="71">
        <f t="shared" si="19"/>
        <v>22500</v>
      </c>
      <c r="Q88" s="71">
        <f t="shared" si="19"/>
        <v>22500</v>
      </c>
      <c r="R88" s="71">
        <f t="shared" si="19"/>
        <v>22500</v>
      </c>
    </row>
    <row r="89" spans="2:18" x14ac:dyDescent="0.3">
      <c r="B89" s="97" t="s">
        <v>29</v>
      </c>
      <c r="C89" s="98"/>
      <c r="D89" s="21" t="s">
        <v>135</v>
      </c>
      <c r="E89" s="99">
        <f>'[1]customer pricing'!$E$14</f>
        <v>0.1</v>
      </c>
      <c r="F89" s="100">
        <f>$E$5</f>
        <v>12000</v>
      </c>
      <c r="G89" s="56"/>
      <c r="H89" s="56"/>
      <c r="I89" s="71">
        <f t="shared" si="19"/>
        <v>0</v>
      </c>
      <c r="J89" s="71">
        <f t="shared" si="19"/>
        <v>0</v>
      </c>
      <c r="K89" s="71">
        <f t="shared" si="19"/>
        <v>0</v>
      </c>
      <c r="L89" s="71">
        <f t="shared" si="19"/>
        <v>6000</v>
      </c>
      <c r="M89" s="71">
        <f t="shared" si="19"/>
        <v>6000</v>
      </c>
      <c r="N89" s="71">
        <f t="shared" si="19"/>
        <v>6000</v>
      </c>
      <c r="O89" s="71">
        <f t="shared" si="19"/>
        <v>6000</v>
      </c>
      <c r="P89" s="71">
        <f t="shared" si="19"/>
        <v>10800</v>
      </c>
      <c r="Q89" s="71">
        <f t="shared" si="19"/>
        <v>10800</v>
      </c>
      <c r="R89" s="71">
        <f t="shared" si="19"/>
        <v>10800</v>
      </c>
    </row>
    <row r="90" spans="2:18" x14ac:dyDescent="0.3">
      <c r="B90" s="97" t="s">
        <v>29</v>
      </c>
      <c r="C90" s="98" t="s">
        <v>136</v>
      </c>
      <c r="D90" s="21" t="s">
        <v>133</v>
      </c>
      <c r="E90" s="99">
        <f>'[1]customer pricing'!$C$15</f>
        <v>0.15</v>
      </c>
      <c r="F90" s="100">
        <f>$C$6</f>
        <v>10000</v>
      </c>
      <c r="G90" s="56"/>
      <c r="H90" s="56"/>
      <c r="I90" s="71">
        <f t="shared" si="19"/>
        <v>0</v>
      </c>
      <c r="J90" s="71">
        <f t="shared" si="19"/>
        <v>0</v>
      </c>
      <c r="K90" s="71">
        <f t="shared" si="19"/>
        <v>0</v>
      </c>
      <c r="L90" s="71">
        <f t="shared" si="19"/>
        <v>7500</v>
      </c>
      <c r="M90" s="71">
        <f t="shared" si="19"/>
        <v>7500</v>
      </c>
      <c r="N90" s="71">
        <f t="shared" si="19"/>
        <v>7500</v>
      </c>
      <c r="O90" s="71">
        <f t="shared" si="19"/>
        <v>7500</v>
      </c>
      <c r="P90" s="71">
        <f t="shared" si="19"/>
        <v>13500</v>
      </c>
      <c r="Q90" s="71">
        <f t="shared" si="19"/>
        <v>13500</v>
      </c>
      <c r="R90" s="71">
        <f t="shared" si="19"/>
        <v>13500</v>
      </c>
    </row>
    <row r="91" spans="2:18" x14ac:dyDescent="0.3">
      <c r="B91" s="97" t="s">
        <v>29</v>
      </c>
      <c r="C91" s="98"/>
      <c r="D91" s="21" t="s">
        <v>134</v>
      </c>
      <c r="E91" s="99">
        <f>'[1]customer pricing'!$D$15</f>
        <v>0.25</v>
      </c>
      <c r="F91" s="100">
        <f>$D$6</f>
        <v>12500</v>
      </c>
      <c r="G91" s="56"/>
      <c r="H91" s="56"/>
      <c r="I91" s="71">
        <f t="shared" si="19"/>
        <v>0</v>
      </c>
      <c r="J91" s="71">
        <f t="shared" si="19"/>
        <v>0</v>
      </c>
      <c r="K91" s="71">
        <f t="shared" si="19"/>
        <v>0</v>
      </c>
      <c r="L91" s="71">
        <f t="shared" si="19"/>
        <v>15625</v>
      </c>
      <c r="M91" s="71">
        <f t="shared" si="19"/>
        <v>15625</v>
      </c>
      <c r="N91" s="71">
        <f t="shared" si="19"/>
        <v>15625</v>
      </c>
      <c r="O91" s="71">
        <f t="shared" si="19"/>
        <v>15625</v>
      </c>
      <c r="P91" s="71">
        <f t="shared" si="19"/>
        <v>28125</v>
      </c>
      <c r="Q91" s="71">
        <f t="shared" si="19"/>
        <v>28125</v>
      </c>
      <c r="R91" s="71">
        <f t="shared" si="19"/>
        <v>28125</v>
      </c>
    </row>
    <row r="92" spans="2:18" ht="16.2" thickBot="1" x14ac:dyDescent="0.35">
      <c r="B92" s="101" t="s">
        <v>29</v>
      </c>
      <c r="C92" s="102"/>
      <c r="D92" s="102" t="s">
        <v>135</v>
      </c>
      <c r="E92" s="107">
        <f>'[1]customer pricing'!$E$15</f>
        <v>0.1</v>
      </c>
      <c r="F92" s="108">
        <f>$E$6</f>
        <v>15000</v>
      </c>
      <c r="G92" s="23"/>
      <c r="H92" s="23"/>
      <c r="I92" s="109">
        <f t="shared" si="19"/>
        <v>0</v>
      </c>
      <c r="J92" s="71">
        <f t="shared" si="19"/>
        <v>0</v>
      </c>
      <c r="K92" s="71">
        <f t="shared" si="19"/>
        <v>0</v>
      </c>
      <c r="L92" s="71">
        <f t="shared" si="19"/>
        <v>7500</v>
      </c>
      <c r="M92" s="71">
        <f t="shared" si="19"/>
        <v>7500</v>
      </c>
      <c r="N92" s="71">
        <f t="shared" si="19"/>
        <v>7500</v>
      </c>
      <c r="O92" s="71">
        <f t="shared" si="19"/>
        <v>7500</v>
      </c>
      <c r="P92" s="71">
        <f t="shared" si="19"/>
        <v>13500</v>
      </c>
      <c r="Q92" s="71">
        <f t="shared" si="19"/>
        <v>13500</v>
      </c>
      <c r="R92" s="71">
        <f t="shared" si="19"/>
        <v>13500</v>
      </c>
    </row>
    <row r="93" spans="2:18" x14ac:dyDescent="0.3">
      <c r="B93" s="110" t="s">
        <v>30</v>
      </c>
      <c r="C93" s="93" t="s">
        <v>38</v>
      </c>
      <c r="D93" s="94" t="s">
        <v>133</v>
      </c>
      <c r="E93" s="95">
        <f>'[1]customer pricing'!$C$14</f>
        <v>0.15</v>
      </c>
      <c r="F93" s="96">
        <f>$C$5</f>
        <v>8000</v>
      </c>
      <c r="G93" s="23"/>
      <c r="H93" s="23"/>
      <c r="I93" s="47">
        <f t="shared" ref="I93:R98" si="20">$E93*$F93*I$52</f>
        <v>0</v>
      </c>
      <c r="J93" s="47">
        <f t="shared" si="20"/>
        <v>0</v>
      </c>
      <c r="K93" s="47">
        <f t="shared" si="20"/>
        <v>0</v>
      </c>
      <c r="L93" s="47">
        <f t="shared" si="20"/>
        <v>0</v>
      </c>
      <c r="M93" s="47">
        <f t="shared" si="20"/>
        <v>0</v>
      </c>
      <c r="N93" s="47">
        <f t="shared" si="20"/>
        <v>0</v>
      </c>
      <c r="O93" s="47">
        <f t="shared" si="20"/>
        <v>0</v>
      </c>
      <c r="P93" s="47">
        <f t="shared" si="20"/>
        <v>0</v>
      </c>
      <c r="Q93" s="47">
        <f t="shared" si="20"/>
        <v>0</v>
      </c>
      <c r="R93" s="47">
        <f t="shared" si="20"/>
        <v>0</v>
      </c>
    </row>
    <row r="94" spans="2:18" x14ac:dyDescent="0.3">
      <c r="B94" s="97" t="s">
        <v>30</v>
      </c>
      <c r="C94" s="98"/>
      <c r="D94" s="21" t="s">
        <v>134</v>
      </c>
      <c r="E94" s="99">
        <f>'[1]customer pricing'!$D$14</f>
        <v>0.25</v>
      </c>
      <c r="F94" s="100">
        <f>$D$5</f>
        <v>10000</v>
      </c>
      <c r="G94" s="23"/>
      <c r="H94" s="23"/>
      <c r="I94" s="47">
        <f t="shared" si="20"/>
        <v>0</v>
      </c>
      <c r="J94" s="47">
        <f t="shared" si="20"/>
        <v>0</v>
      </c>
      <c r="K94" s="47">
        <f t="shared" si="20"/>
        <v>0</v>
      </c>
      <c r="L94" s="47">
        <f t="shared" si="20"/>
        <v>0</v>
      </c>
      <c r="M94" s="47">
        <f t="shared" si="20"/>
        <v>0</v>
      </c>
      <c r="N94" s="47">
        <f t="shared" si="20"/>
        <v>0</v>
      </c>
      <c r="O94" s="47">
        <f t="shared" si="20"/>
        <v>0</v>
      </c>
      <c r="P94" s="47">
        <f t="shared" si="20"/>
        <v>0</v>
      </c>
      <c r="Q94" s="47">
        <f t="shared" si="20"/>
        <v>0</v>
      </c>
      <c r="R94" s="47">
        <f t="shared" si="20"/>
        <v>0</v>
      </c>
    </row>
    <row r="95" spans="2:18" x14ac:dyDescent="0.3">
      <c r="B95" s="97" t="s">
        <v>30</v>
      </c>
      <c r="C95" s="98"/>
      <c r="D95" s="21" t="s">
        <v>135</v>
      </c>
      <c r="E95" s="99">
        <f>'[1]customer pricing'!$E$14</f>
        <v>0.1</v>
      </c>
      <c r="F95" s="100">
        <f>$E$5</f>
        <v>12000</v>
      </c>
      <c r="G95" s="23"/>
      <c r="H95" s="23"/>
      <c r="I95" s="47">
        <f t="shared" si="20"/>
        <v>0</v>
      </c>
      <c r="J95" s="47">
        <f t="shared" si="20"/>
        <v>0</v>
      </c>
      <c r="K95" s="47">
        <f t="shared" si="20"/>
        <v>0</v>
      </c>
      <c r="L95" s="47">
        <f t="shared" si="20"/>
        <v>0</v>
      </c>
      <c r="M95" s="47">
        <f t="shared" si="20"/>
        <v>0</v>
      </c>
      <c r="N95" s="47">
        <f t="shared" si="20"/>
        <v>0</v>
      </c>
      <c r="O95" s="47">
        <f t="shared" si="20"/>
        <v>0</v>
      </c>
      <c r="P95" s="47">
        <f t="shared" si="20"/>
        <v>0</v>
      </c>
      <c r="Q95" s="47">
        <f t="shared" si="20"/>
        <v>0</v>
      </c>
      <c r="R95" s="47">
        <f t="shared" si="20"/>
        <v>0</v>
      </c>
    </row>
    <row r="96" spans="2:18" x14ac:dyDescent="0.3">
      <c r="B96" s="97" t="s">
        <v>30</v>
      </c>
      <c r="C96" s="98" t="s">
        <v>136</v>
      </c>
      <c r="D96" s="21" t="s">
        <v>133</v>
      </c>
      <c r="E96" s="99">
        <f>'[1]customer pricing'!$C$15</f>
        <v>0.15</v>
      </c>
      <c r="F96" s="100">
        <f>$C$6</f>
        <v>10000</v>
      </c>
      <c r="G96" s="23"/>
      <c r="H96" s="23"/>
      <c r="I96" s="47">
        <f t="shared" si="20"/>
        <v>0</v>
      </c>
      <c r="J96" s="47">
        <f t="shared" si="20"/>
        <v>0</v>
      </c>
      <c r="K96" s="47">
        <f t="shared" si="20"/>
        <v>0</v>
      </c>
      <c r="L96" s="47">
        <f t="shared" si="20"/>
        <v>0</v>
      </c>
      <c r="M96" s="47">
        <f t="shared" si="20"/>
        <v>0</v>
      </c>
      <c r="N96" s="47">
        <f t="shared" si="20"/>
        <v>0</v>
      </c>
      <c r="O96" s="47">
        <f t="shared" si="20"/>
        <v>0</v>
      </c>
      <c r="P96" s="47">
        <f t="shared" si="20"/>
        <v>0</v>
      </c>
      <c r="Q96" s="47">
        <f t="shared" si="20"/>
        <v>0</v>
      </c>
      <c r="R96" s="47">
        <f t="shared" si="20"/>
        <v>0</v>
      </c>
    </row>
    <row r="97" spans="2:18" x14ac:dyDescent="0.3">
      <c r="B97" s="97" t="s">
        <v>30</v>
      </c>
      <c r="C97" s="98"/>
      <c r="D97" s="21" t="s">
        <v>134</v>
      </c>
      <c r="E97" s="99">
        <f>'[1]customer pricing'!$D$15</f>
        <v>0.25</v>
      </c>
      <c r="F97" s="100">
        <f>$D$6</f>
        <v>12500</v>
      </c>
      <c r="G97" s="23"/>
      <c r="H97" s="23"/>
      <c r="I97" s="47">
        <f t="shared" si="20"/>
        <v>0</v>
      </c>
      <c r="J97" s="47">
        <f t="shared" si="20"/>
        <v>0</v>
      </c>
      <c r="K97" s="47">
        <f t="shared" si="20"/>
        <v>0</v>
      </c>
      <c r="L97" s="47">
        <f t="shared" si="20"/>
        <v>0</v>
      </c>
      <c r="M97" s="47">
        <f t="shared" si="20"/>
        <v>0</v>
      </c>
      <c r="N97" s="47">
        <f t="shared" si="20"/>
        <v>0</v>
      </c>
      <c r="O97" s="47">
        <f t="shared" si="20"/>
        <v>0</v>
      </c>
      <c r="P97" s="47">
        <f t="shared" si="20"/>
        <v>0</v>
      </c>
      <c r="Q97" s="47">
        <f t="shared" si="20"/>
        <v>0</v>
      </c>
      <c r="R97" s="47">
        <f t="shared" si="20"/>
        <v>0</v>
      </c>
    </row>
    <row r="98" spans="2:18" ht="16.2" thickBot="1" x14ac:dyDescent="0.35">
      <c r="B98" s="101" t="s">
        <v>30</v>
      </c>
      <c r="C98" s="102"/>
      <c r="D98" s="102" t="s">
        <v>135</v>
      </c>
      <c r="E98" s="103">
        <f>'[1]customer pricing'!$E$15</f>
        <v>0.1</v>
      </c>
      <c r="F98" s="104">
        <f>$E$6</f>
        <v>15000</v>
      </c>
      <c r="G98" s="23"/>
      <c r="H98" s="23"/>
      <c r="I98" s="47">
        <f t="shared" si="20"/>
        <v>0</v>
      </c>
      <c r="J98" s="47">
        <f t="shared" si="20"/>
        <v>0</v>
      </c>
      <c r="K98" s="47">
        <f t="shared" si="20"/>
        <v>0</v>
      </c>
      <c r="L98" s="47">
        <f t="shared" si="20"/>
        <v>0</v>
      </c>
      <c r="M98" s="47">
        <f t="shared" si="20"/>
        <v>0</v>
      </c>
      <c r="N98" s="47">
        <f t="shared" si="20"/>
        <v>0</v>
      </c>
      <c r="O98" s="47">
        <f t="shared" si="20"/>
        <v>0</v>
      </c>
      <c r="P98" s="47">
        <f t="shared" si="20"/>
        <v>0</v>
      </c>
      <c r="Q98" s="47">
        <f t="shared" si="20"/>
        <v>0</v>
      </c>
      <c r="R98" s="47">
        <f t="shared" si="20"/>
        <v>0</v>
      </c>
    </row>
    <row r="99" spans="2:18" x14ac:dyDescent="0.3">
      <c r="B99" s="111" t="s">
        <v>31</v>
      </c>
      <c r="C99" s="112" t="s">
        <v>38</v>
      </c>
      <c r="D99" s="113" t="s">
        <v>133</v>
      </c>
      <c r="E99" s="114">
        <f>'[1]customer pricing'!$C$14</f>
        <v>0.15</v>
      </c>
      <c r="F99" s="115">
        <f>$C$5</f>
        <v>8000</v>
      </c>
      <c r="G99" s="23"/>
      <c r="H99" s="23"/>
      <c r="I99" s="71">
        <f t="shared" ref="I99:R104" si="21">$E99*$F99*I$53</f>
        <v>0</v>
      </c>
      <c r="J99" s="71">
        <f t="shared" si="21"/>
        <v>0</v>
      </c>
      <c r="K99" s="71">
        <f t="shared" si="21"/>
        <v>0</v>
      </c>
      <c r="L99" s="71">
        <f t="shared" si="21"/>
        <v>0</v>
      </c>
      <c r="M99" s="71">
        <f t="shared" si="21"/>
        <v>0</v>
      </c>
      <c r="N99" s="71">
        <f t="shared" si="21"/>
        <v>0</v>
      </c>
      <c r="O99" s="71">
        <f t="shared" si="21"/>
        <v>0</v>
      </c>
      <c r="P99" s="71">
        <f t="shared" si="21"/>
        <v>0</v>
      </c>
      <c r="Q99" s="71">
        <f t="shared" si="21"/>
        <v>0</v>
      </c>
      <c r="R99" s="71">
        <f t="shared" si="21"/>
        <v>0</v>
      </c>
    </row>
    <row r="100" spans="2:18" x14ac:dyDescent="0.3">
      <c r="B100" s="97" t="s">
        <v>31</v>
      </c>
      <c r="C100" s="98"/>
      <c r="D100" s="21" t="s">
        <v>134</v>
      </c>
      <c r="E100" s="99">
        <f>'[1]customer pricing'!$D$14</f>
        <v>0.25</v>
      </c>
      <c r="F100" s="100">
        <f>$D$5</f>
        <v>10000</v>
      </c>
      <c r="G100" s="23"/>
      <c r="H100" s="23"/>
      <c r="I100" s="71">
        <f t="shared" si="21"/>
        <v>0</v>
      </c>
      <c r="J100" s="71">
        <f t="shared" si="21"/>
        <v>0</v>
      </c>
      <c r="K100" s="71">
        <f t="shared" si="21"/>
        <v>0</v>
      </c>
      <c r="L100" s="71">
        <f t="shared" si="21"/>
        <v>0</v>
      </c>
      <c r="M100" s="71">
        <f t="shared" si="21"/>
        <v>0</v>
      </c>
      <c r="N100" s="71">
        <f t="shared" si="21"/>
        <v>0</v>
      </c>
      <c r="O100" s="71">
        <f t="shared" si="21"/>
        <v>0</v>
      </c>
      <c r="P100" s="71">
        <f t="shared" si="21"/>
        <v>0</v>
      </c>
      <c r="Q100" s="71">
        <f t="shared" si="21"/>
        <v>0</v>
      </c>
      <c r="R100" s="71">
        <f t="shared" si="21"/>
        <v>0</v>
      </c>
    </row>
    <row r="101" spans="2:18" x14ac:dyDescent="0.3">
      <c r="B101" s="97" t="s">
        <v>31</v>
      </c>
      <c r="C101" s="98"/>
      <c r="D101" s="21" t="s">
        <v>135</v>
      </c>
      <c r="E101" s="99">
        <f>'[1]customer pricing'!$E$14</f>
        <v>0.1</v>
      </c>
      <c r="F101" s="100">
        <f>$E$5</f>
        <v>12000</v>
      </c>
      <c r="G101" s="23"/>
      <c r="H101" s="23"/>
      <c r="I101" s="71">
        <f t="shared" si="21"/>
        <v>0</v>
      </c>
      <c r="J101" s="71">
        <f t="shared" si="21"/>
        <v>0</v>
      </c>
      <c r="K101" s="71">
        <f t="shared" si="21"/>
        <v>0</v>
      </c>
      <c r="L101" s="71">
        <f t="shared" si="21"/>
        <v>0</v>
      </c>
      <c r="M101" s="71">
        <f t="shared" si="21"/>
        <v>0</v>
      </c>
      <c r="N101" s="71">
        <f t="shared" si="21"/>
        <v>0</v>
      </c>
      <c r="O101" s="71">
        <f t="shared" si="21"/>
        <v>0</v>
      </c>
      <c r="P101" s="71">
        <f t="shared" si="21"/>
        <v>0</v>
      </c>
      <c r="Q101" s="71">
        <f t="shared" si="21"/>
        <v>0</v>
      </c>
      <c r="R101" s="71">
        <f t="shared" si="21"/>
        <v>0</v>
      </c>
    </row>
    <row r="102" spans="2:18" x14ac:dyDescent="0.3">
      <c r="B102" s="97" t="s">
        <v>31</v>
      </c>
      <c r="C102" s="98" t="s">
        <v>136</v>
      </c>
      <c r="D102" s="21" t="s">
        <v>133</v>
      </c>
      <c r="E102" s="99">
        <f>'[1]customer pricing'!$C$15</f>
        <v>0.15</v>
      </c>
      <c r="F102" s="100">
        <f>$C$6</f>
        <v>10000</v>
      </c>
      <c r="G102" s="23"/>
      <c r="H102" s="23"/>
      <c r="I102" s="71">
        <f t="shared" si="21"/>
        <v>0</v>
      </c>
      <c r="J102" s="71">
        <f t="shared" si="21"/>
        <v>0</v>
      </c>
      <c r="K102" s="71">
        <f t="shared" si="21"/>
        <v>0</v>
      </c>
      <c r="L102" s="71">
        <f t="shared" si="21"/>
        <v>0</v>
      </c>
      <c r="M102" s="71">
        <f t="shared" si="21"/>
        <v>0</v>
      </c>
      <c r="N102" s="71">
        <f t="shared" si="21"/>
        <v>0</v>
      </c>
      <c r="O102" s="71">
        <f t="shared" si="21"/>
        <v>0</v>
      </c>
      <c r="P102" s="71">
        <f t="shared" si="21"/>
        <v>0</v>
      </c>
      <c r="Q102" s="71">
        <f t="shared" si="21"/>
        <v>0</v>
      </c>
      <c r="R102" s="71">
        <f t="shared" si="21"/>
        <v>0</v>
      </c>
    </row>
    <row r="103" spans="2:18" x14ac:dyDescent="0.3">
      <c r="B103" s="97" t="s">
        <v>31</v>
      </c>
      <c r="C103" s="98"/>
      <c r="D103" s="21" t="s">
        <v>134</v>
      </c>
      <c r="E103" s="99">
        <f>'[1]customer pricing'!$D$15</f>
        <v>0.25</v>
      </c>
      <c r="F103" s="100">
        <f>$D$6</f>
        <v>12500</v>
      </c>
      <c r="G103" s="23"/>
      <c r="H103" s="23"/>
      <c r="I103" s="71">
        <f t="shared" si="21"/>
        <v>0</v>
      </c>
      <c r="J103" s="71">
        <f t="shared" si="21"/>
        <v>0</v>
      </c>
      <c r="K103" s="71">
        <f t="shared" si="21"/>
        <v>0</v>
      </c>
      <c r="L103" s="71">
        <f t="shared" si="21"/>
        <v>0</v>
      </c>
      <c r="M103" s="71">
        <f t="shared" si="21"/>
        <v>0</v>
      </c>
      <c r="N103" s="71">
        <f t="shared" si="21"/>
        <v>0</v>
      </c>
      <c r="O103" s="71">
        <f t="shared" si="21"/>
        <v>0</v>
      </c>
      <c r="P103" s="71">
        <f t="shared" si="21"/>
        <v>0</v>
      </c>
      <c r="Q103" s="71">
        <f t="shared" si="21"/>
        <v>0</v>
      </c>
      <c r="R103" s="71">
        <f t="shared" si="21"/>
        <v>0</v>
      </c>
    </row>
    <row r="104" spans="2:18" ht="16.2" thickBot="1" x14ac:dyDescent="0.35">
      <c r="B104" s="101" t="s">
        <v>31</v>
      </c>
      <c r="C104" s="102"/>
      <c r="D104" s="102" t="s">
        <v>135</v>
      </c>
      <c r="E104" s="103">
        <f>'[1]customer pricing'!$E$15</f>
        <v>0.1</v>
      </c>
      <c r="F104" s="104">
        <f>$E$6</f>
        <v>15000</v>
      </c>
      <c r="G104" s="23"/>
      <c r="H104" s="23"/>
      <c r="I104" s="71">
        <f t="shared" si="21"/>
        <v>0</v>
      </c>
      <c r="J104" s="71">
        <f t="shared" si="21"/>
        <v>0</v>
      </c>
      <c r="K104" s="71">
        <f t="shared" si="21"/>
        <v>0</v>
      </c>
      <c r="L104" s="71">
        <f t="shared" si="21"/>
        <v>0</v>
      </c>
      <c r="M104" s="71">
        <f t="shared" si="21"/>
        <v>0</v>
      </c>
      <c r="N104" s="71">
        <f t="shared" si="21"/>
        <v>0</v>
      </c>
      <c r="O104" s="71">
        <f t="shared" si="21"/>
        <v>0</v>
      </c>
      <c r="P104" s="71">
        <f t="shared" si="21"/>
        <v>0</v>
      </c>
      <c r="Q104" s="71">
        <f t="shared" si="21"/>
        <v>0</v>
      </c>
      <c r="R104" s="71">
        <f t="shared" si="21"/>
        <v>0</v>
      </c>
    </row>
    <row r="105" spans="2:18" s="36" customFormat="1" x14ac:dyDescent="0.3">
      <c r="B105" s="116" t="s">
        <v>14</v>
      </c>
      <c r="C105" s="116"/>
      <c r="D105" s="116"/>
      <c r="E105" s="117"/>
      <c r="F105" s="118"/>
      <c r="I105" s="119">
        <f t="shared" ref="I105:R105" si="22">SUM(I69:I104)</f>
        <v>0</v>
      </c>
      <c r="J105" s="119">
        <f t="shared" si="22"/>
        <v>0</v>
      </c>
      <c r="K105" s="119">
        <f t="shared" si="22"/>
        <v>0</v>
      </c>
      <c r="L105" s="119">
        <f t="shared" si="22"/>
        <v>154350</v>
      </c>
      <c r="M105" s="119">
        <f t="shared" si="22"/>
        <v>154350</v>
      </c>
      <c r="N105" s="119">
        <f t="shared" si="22"/>
        <v>154350</v>
      </c>
      <c r="O105" s="119">
        <f t="shared" si="22"/>
        <v>154350</v>
      </c>
      <c r="P105" s="119">
        <f t="shared" si="22"/>
        <v>286650</v>
      </c>
      <c r="Q105" s="119">
        <f t="shared" si="22"/>
        <v>286650</v>
      </c>
      <c r="R105" s="119">
        <f t="shared" si="22"/>
        <v>286650</v>
      </c>
    </row>
    <row r="106" spans="2:18" x14ac:dyDescent="0.3">
      <c r="B106" s="22"/>
      <c r="C106" s="22"/>
      <c r="D106" s="22"/>
      <c r="E106" s="120"/>
      <c r="F106" s="121"/>
    </row>
    <row r="107" spans="2:18" x14ac:dyDescent="0.3">
      <c r="B107" s="22"/>
      <c r="C107" s="22"/>
      <c r="D107" s="22"/>
      <c r="E107" s="120"/>
      <c r="F107" s="121"/>
    </row>
    <row r="108" spans="2:18" s="36" customFormat="1" ht="16.2" thickBot="1" x14ac:dyDescent="0.35">
      <c r="B108" s="36" t="s">
        <v>32</v>
      </c>
      <c r="G108" s="20">
        <v>1</v>
      </c>
      <c r="H108" s="20">
        <f t="shared" ref="H108:R108" si="23">G108+1</f>
        <v>2</v>
      </c>
      <c r="I108" s="16">
        <f t="shared" si="23"/>
        <v>3</v>
      </c>
      <c r="J108" s="16">
        <f t="shared" si="23"/>
        <v>4</v>
      </c>
      <c r="K108" s="16">
        <f t="shared" si="23"/>
        <v>5</v>
      </c>
      <c r="L108" s="16">
        <f t="shared" si="23"/>
        <v>6</v>
      </c>
      <c r="M108" s="16">
        <f t="shared" si="23"/>
        <v>7</v>
      </c>
      <c r="N108" s="16">
        <f t="shared" si="23"/>
        <v>8</v>
      </c>
      <c r="O108" s="16">
        <f t="shared" si="23"/>
        <v>9</v>
      </c>
      <c r="P108" s="16">
        <f t="shared" si="23"/>
        <v>10</v>
      </c>
      <c r="Q108" s="16">
        <f t="shared" si="23"/>
        <v>11</v>
      </c>
      <c r="R108" s="16">
        <f t="shared" si="23"/>
        <v>12</v>
      </c>
    </row>
    <row r="109" spans="2:18" x14ac:dyDescent="0.3">
      <c r="B109" s="92" t="s">
        <v>132</v>
      </c>
      <c r="C109" s="93" t="s">
        <v>38</v>
      </c>
      <c r="D109" s="94" t="s">
        <v>133</v>
      </c>
      <c r="E109" s="95">
        <f>'[1]customer pricing'!$C$14</f>
        <v>0.15</v>
      </c>
      <c r="F109" s="96">
        <f>$C$5</f>
        <v>8000</v>
      </c>
      <c r="G109" s="56"/>
      <c r="H109" s="56"/>
      <c r="I109" s="47">
        <f t="shared" ref="I109:R114" si="24">$E109*$F109*I$58</f>
        <v>2400</v>
      </c>
      <c r="J109" s="47">
        <f t="shared" si="24"/>
        <v>6000</v>
      </c>
      <c r="K109" s="47">
        <f t="shared" si="24"/>
        <v>8400</v>
      </c>
      <c r="L109" s="47">
        <f t="shared" si="24"/>
        <v>8400</v>
      </c>
      <c r="M109" s="47">
        <f t="shared" si="24"/>
        <v>10800</v>
      </c>
      <c r="N109" s="47">
        <f t="shared" si="24"/>
        <v>13200</v>
      </c>
      <c r="O109" s="47">
        <f t="shared" si="24"/>
        <v>16800</v>
      </c>
      <c r="P109" s="47">
        <f t="shared" si="24"/>
        <v>16800</v>
      </c>
      <c r="Q109" s="47">
        <f t="shared" si="24"/>
        <v>19200</v>
      </c>
      <c r="R109" s="47">
        <f t="shared" si="24"/>
        <v>21600</v>
      </c>
    </row>
    <row r="110" spans="2:18" x14ac:dyDescent="0.3">
      <c r="B110" s="97" t="s">
        <v>132</v>
      </c>
      <c r="C110" s="98"/>
      <c r="D110" s="21" t="s">
        <v>134</v>
      </c>
      <c r="E110" s="99">
        <f>'[1]customer pricing'!$D$14</f>
        <v>0.25</v>
      </c>
      <c r="F110" s="100">
        <f>$D$5</f>
        <v>10000</v>
      </c>
      <c r="G110" s="23"/>
      <c r="H110" s="23"/>
      <c r="I110" s="47">
        <f t="shared" si="24"/>
        <v>5000</v>
      </c>
      <c r="J110" s="47">
        <f t="shared" si="24"/>
        <v>12500</v>
      </c>
      <c r="K110" s="47">
        <f t="shared" si="24"/>
        <v>17500</v>
      </c>
      <c r="L110" s="47">
        <f t="shared" si="24"/>
        <v>17500</v>
      </c>
      <c r="M110" s="47">
        <f t="shared" si="24"/>
        <v>22500</v>
      </c>
      <c r="N110" s="47">
        <f t="shared" si="24"/>
        <v>27500</v>
      </c>
      <c r="O110" s="47">
        <f t="shared" si="24"/>
        <v>35000</v>
      </c>
      <c r="P110" s="47">
        <f t="shared" si="24"/>
        <v>35000</v>
      </c>
      <c r="Q110" s="47">
        <f t="shared" si="24"/>
        <v>40000</v>
      </c>
      <c r="R110" s="47">
        <f t="shared" si="24"/>
        <v>45000</v>
      </c>
    </row>
    <row r="111" spans="2:18" x14ac:dyDescent="0.3">
      <c r="B111" s="97" t="s">
        <v>132</v>
      </c>
      <c r="C111" s="98"/>
      <c r="D111" s="21" t="s">
        <v>135</v>
      </c>
      <c r="E111" s="99">
        <f>'[1]customer pricing'!$E$14</f>
        <v>0.1</v>
      </c>
      <c r="F111" s="100">
        <f>$E$5</f>
        <v>12000</v>
      </c>
      <c r="G111" s="23"/>
      <c r="H111" s="23"/>
      <c r="I111" s="47">
        <f t="shared" si="24"/>
        <v>2400</v>
      </c>
      <c r="J111" s="47">
        <f t="shared" si="24"/>
        <v>6000</v>
      </c>
      <c r="K111" s="47">
        <f t="shared" si="24"/>
        <v>8400</v>
      </c>
      <c r="L111" s="47">
        <f t="shared" si="24"/>
        <v>8400</v>
      </c>
      <c r="M111" s="47">
        <f t="shared" si="24"/>
        <v>10800</v>
      </c>
      <c r="N111" s="47">
        <f t="shared" si="24"/>
        <v>13200</v>
      </c>
      <c r="O111" s="47">
        <f t="shared" si="24"/>
        <v>16800</v>
      </c>
      <c r="P111" s="47">
        <f t="shared" si="24"/>
        <v>16800</v>
      </c>
      <c r="Q111" s="47">
        <f t="shared" si="24"/>
        <v>19200</v>
      </c>
      <c r="R111" s="47">
        <f t="shared" si="24"/>
        <v>21600</v>
      </c>
    </row>
    <row r="112" spans="2:18" x14ac:dyDescent="0.3">
      <c r="B112" s="97" t="s">
        <v>132</v>
      </c>
      <c r="C112" s="98" t="s">
        <v>136</v>
      </c>
      <c r="D112" s="21" t="s">
        <v>133</v>
      </c>
      <c r="E112" s="99">
        <f>'[1]customer pricing'!$C$15</f>
        <v>0.15</v>
      </c>
      <c r="F112" s="100">
        <f>$C$6</f>
        <v>10000</v>
      </c>
      <c r="G112" s="47"/>
      <c r="H112" s="47"/>
      <c r="I112" s="47">
        <f t="shared" si="24"/>
        <v>3000</v>
      </c>
      <c r="J112" s="47">
        <f t="shared" si="24"/>
        <v>7500</v>
      </c>
      <c r="K112" s="47">
        <f t="shared" si="24"/>
        <v>10500</v>
      </c>
      <c r="L112" s="47">
        <f t="shared" si="24"/>
        <v>10500</v>
      </c>
      <c r="M112" s="47">
        <f t="shared" si="24"/>
        <v>13500</v>
      </c>
      <c r="N112" s="47">
        <f t="shared" si="24"/>
        <v>16500</v>
      </c>
      <c r="O112" s="47">
        <f t="shared" si="24"/>
        <v>21000</v>
      </c>
      <c r="P112" s="47">
        <f t="shared" si="24"/>
        <v>21000</v>
      </c>
      <c r="Q112" s="47">
        <f t="shared" si="24"/>
        <v>24000</v>
      </c>
      <c r="R112" s="47">
        <f t="shared" si="24"/>
        <v>27000</v>
      </c>
    </row>
    <row r="113" spans="2:18" x14ac:dyDescent="0.3">
      <c r="B113" s="97" t="s">
        <v>132</v>
      </c>
      <c r="C113" s="98"/>
      <c r="D113" s="21" t="s">
        <v>134</v>
      </c>
      <c r="E113" s="99">
        <f>'[1]customer pricing'!$D$15</f>
        <v>0.25</v>
      </c>
      <c r="F113" s="100">
        <f>$D$6</f>
        <v>12500</v>
      </c>
      <c r="G113" s="23"/>
      <c r="H113" s="23"/>
      <c r="I113" s="47">
        <f t="shared" si="24"/>
        <v>6250</v>
      </c>
      <c r="J113" s="47">
        <f t="shared" si="24"/>
        <v>15625</v>
      </c>
      <c r="K113" s="47">
        <f t="shared" si="24"/>
        <v>21875</v>
      </c>
      <c r="L113" s="47">
        <f t="shared" si="24"/>
        <v>21875</v>
      </c>
      <c r="M113" s="47">
        <f t="shared" si="24"/>
        <v>28125</v>
      </c>
      <c r="N113" s="47">
        <f t="shared" si="24"/>
        <v>34375</v>
      </c>
      <c r="O113" s="47">
        <f t="shared" si="24"/>
        <v>43750</v>
      </c>
      <c r="P113" s="47">
        <f t="shared" si="24"/>
        <v>43750</v>
      </c>
      <c r="Q113" s="47">
        <f t="shared" si="24"/>
        <v>50000</v>
      </c>
      <c r="R113" s="47">
        <f t="shared" si="24"/>
        <v>56250</v>
      </c>
    </row>
    <row r="114" spans="2:18" ht="16.2" thickBot="1" x14ac:dyDescent="0.35">
      <c r="B114" s="101" t="s">
        <v>132</v>
      </c>
      <c r="C114" s="106"/>
      <c r="D114" s="106" t="s">
        <v>135</v>
      </c>
      <c r="E114" s="107">
        <f>'[1]customer pricing'!$E$15</f>
        <v>0.1</v>
      </c>
      <c r="F114" s="108">
        <f>$E$6</f>
        <v>15000</v>
      </c>
      <c r="G114" s="23"/>
      <c r="H114" s="23"/>
      <c r="I114" s="47">
        <f t="shared" si="24"/>
        <v>3000</v>
      </c>
      <c r="J114" s="47">
        <f t="shared" si="24"/>
        <v>7500</v>
      </c>
      <c r="K114" s="47">
        <f t="shared" si="24"/>
        <v>10500</v>
      </c>
      <c r="L114" s="47">
        <f t="shared" si="24"/>
        <v>10500</v>
      </c>
      <c r="M114" s="47">
        <f t="shared" si="24"/>
        <v>13500</v>
      </c>
      <c r="N114" s="47">
        <f t="shared" si="24"/>
        <v>16500</v>
      </c>
      <c r="O114" s="47">
        <f t="shared" si="24"/>
        <v>21000</v>
      </c>
      <c r="P114" s="47">
        <f t="shared" si="24"/>
        <v>21000</v>
      </c>
      <c r="Q114" s="47">
        <f t="shared" si="24"/>
        <v>24000</v>
      </c>
      <c r="R114" s="47">
        <f t="shared" si="24"/>
        <v>27000</v>
      </c>
    </row>
    <row r="115" spans="2:18" x14ac:dyDescent="0.3">
      <c r="B115" s="92" t="s">
        <v>27</v>
      </c>
      <c r="C115" s="93" t="s">
        <v>38</v>
      </c>
      <c r="D115" s="94" t="s">
        <v>133</v>
      </c>
      <c r="E115" s="95">
        <f>'[1]customer pricing'!$C$14</f>
        <v>0.15</v>
      </c>
      <c r="F115" s="96">
        <f>$C$5</f>
        <v>8000</v>
      </c>
      <c r="G115" s="23"/>
      <c r="H115" s="23"/>
      <c r="I115" s="71">
        <f t="shared" ref="I115:R120" si="25">$E115*$F115*I$59</f>
        <v>9600</v>
      </c>
      <c r="J115" s="71">
        <f t="shared" si="25"/>
        <v>21600</v>
      </c>
      <c r="K115" s="71">
        <f t="shared" si="25"/>
        <v>32400</v>
      </c>
      <c r="L115" s="71">
        <f t="shared" si="25"/>
        <v>32400</v>
      </c>
      <c r="M115" s="71">
        <f t="shared" si="25"/>
        <v>43200</v>
      </c>
      <c r="N115" s="71">
        <f t="shared" si="25"/>
        <v>52800</v>
      </c>
      <c r="O115" s="71">
        <f t="shared" si="25"/>
        <v>63600</v>
      </c>
      <c r="P115" s="71">
        <f t="shared" si="25"/>
        <v>63600</v>
      </c>
      <c r="Q115" s="71">
        <f t="shared" si="25"/>
        <v>74400</v>
      </c>
      <c r="R115" s="71">
        <f t="shared" si="25"/>
        <v>85200</v>
      </c>
    </row>
    <row r="116" spans="2:18" x14ac:dyDescent="0.3">
      <c r="B116" s="97" t="s">
        <v>27</v>
      </c>
      <c r="C116" s="98"/>
      <c r="D116" s="21" t="s">
        <v>134</v>
      </c>
      <c r="E116" s="99">
        <f>'[1]customer pricing'!$D$14</f>
        <v>0.25</v>
      </c>
      <c r="F116" s="100">
        <f>$D$5</f>
        <v>10000</v>
      </c>
      <c r="G116" s="23"/>
      <c r="H116" s="23"/>
      <c r="I116" s="71">
        <f t="shared" si="25"/>
        <v>20000</v>
      </c>
      <c r="J116" s="71">
        <f t="shared" si="25"/>
        <v>45000</v>
      </c>
      <c r="K116" s="71">
        <f t="shared" si="25"/>
        <v>67500</v>
      </c>
      <c r="L116" s="71">
        <f t="shared" si="25"/>
        <v>67500</v>
      </c>
      <c r="M116" s="71">
        <f t="shared" si="25"/>
        <v>90000</v>
      </c>
      <c r="N116" s="71">
        <f t="shared" si="25"/>
        <v>110000</v>
      </c>
      <c r="O116" s="71">
        <f t="shared" si="25"/>
        <v>132500</v>
      </c>
      <c r="P116" s="71">
        <f t="shared" si="25"/>
        <v>132500</v>
      </c>
      <c r="Q116" s="71">
        <f t="shared" si="25"/>
        <v>155000</v>
      </c>
      <c r="R116" s="71">
        <f t="shared" si="25"/>
        <v>177500</v>
      </c>
    </row>
    <row r="117" spans="2:18" x14ac:dyDescent="0.3">
      <c r="B117" s="97" t="s">
        <v>27</v>
      </c>
      <c r="C117" s="98"/>
      <c r="D117" s="21" t="s">
        <v>135</v>
      </c>
      <c r="E117" s="99">
        <f>'[1]customer pricing'!$E$14</f>
        <v>0.1</v>
      </c>
      <c r="F117" s="100">
        <f>$E$5</f>
        <v>12000</v>
      </c>
      <c r="G117" s="23"/>
      <c r="H117" s="23"/>
      <c r="I117" s="71">
        <f t="shared" si="25"/>
        <v>9600</v>
      </c>
      <c r="J117" s="71">
        <f t="shared" si="25"/>
        <v>21600</v>
      </c>
      <c r="K117" s="71">
        <f t="shared" si="25"/>
        <v>32400</v>
      </c>
      <c r="L117" s="71">
        <f t="shared" si="25"/>
        <v>32400</v>
      </c>
      <c r="M117" s="71">
        <f t="shared" si="25"/>
        <v>43200</v>
      </c>
      <c r="N117" s="71">
        <f t="shared" si="25"/>
        <v>52800</v>
      </c>
      <c r="O117" s="71">
        <f t="shared" si="25"/>
        <v>63600</v>
      </c>
      <c r="P117" s="71">
        <f t="shared" si="25"/>
        <v>63600</v>
      </c>
      <c r="Q117" s="71">
        <f t="shared" si="25"/>
        <v>74400</v>
      </c>
      <c r="R117" s="71">
        <f t="shared" si="25"/>
        <v>85200</v>
      </c>
    </row>
    <row r="118" spans="2:18" x14ac:dyDescent="0.3">
      <c r="B118" s="97" t="s">
        <v>27</v>
      </c>
      <c r="C118" s="98" t="s">
        <v>136</v>
      </c>
      <c r="D118" s="21" t="s">
        <v>133</v>
      </c>
      <c r="E118" s="99">
        <f>'[1]customer pricing'!$C$15</f>
        <v>0.15</v>
      </c>
      <c r="F118" s="100">
        <f>$C$6</f>
        <v>10000</v>
      </c>
      <c r="G118" s="23"/>
      <c r="H118" s="23"/>
      <c r="I118" s="71">
        <f t="shared" si="25"/>
        <v>12000</v>
      </c>
      <c r="J118" s="71">
        <f t="shared" si="25"/>
        <v>27000</v>
      </c>
      <c r="K118" s="71">
        <f t="shared" si="25"/>
        <v>40500</v>
      </c>
      <c r="L118" s="71">
        <f t="shared" si="25"/>
        <v>40500</v>
      </c>
      <c r="M118" s="71">
        <f t="shared" si="25"/>
        <v>54000</v>
      </c>
      <c r="N118" s="71">
        <f t="shared" si="25"/>
        <v>66000</v>
      </c>
      <c r="O118" s="71">
        <f t="shared" si="25"/>
        <v>79500</v>
      </c>
      <c r="P118" s="71">
        <f t="shared" si="25"/>
        <v>79500</v>
      </c>
      <c r="Q118" s="71">
        <f t="shared" si="25"/>
        <v>93000</v>
      </c>
      <c r="R118" s="71">
        <f t="shared" si="25"/>
        <v>106500</v>
      </c>
    </row>
    <row r="119" spans="2:18" x14ac:dyDescent="0.3">
      <c r="B119" s="97" t="s">
        <v>27</v>
      </c>
      <c r="C119" s="98"/>
      <c r="D119" s="21" t="s">
        <v>134</v>
      </c>
      <c r="E119" s="99">
        <f>'[1]customer pricing'!$D$15</f>
        <v>0.25</v>
      </c>
      <c r="F119" s="100">
        <f>$D$6</f>
        <v>12500</v>
      </c>
      <c r="G119" s="23"/>
      <c r="H119" s="23"/>
      <c r="I119" s="71">
        <f t="shared" si="25"/>
        <v>25000</v>
      </c>
      <c r="J119" s="71">
        <f t="shared" si="25"/>
        <v>56250</v>
      </c>
      <c r="K119" s="71">
        <f t="shared" si="25"/>
        <v>84375</v>
      </c>
      <c r="L119" s="71">
        <f t="shared" si="25"/>
        <v>84375</v>
      </c>
      <c r="M119" s="71">
        <f t="shared" si="25"/>
        <v>112500</v>
      </c>
      <c r="N119" s="71">
        <f t="shared" si="25"/>
        <v>137500</v>
      </c>
      <c r="O119" s="71">
        <f t="shared" si="25"/>
        <v>165625</v>
      </c>
      <c r="P119" s="71">
        <f t="shared" si="25"/>
        <v>165625</v>
      </c>
      <c r="Q119" s="71">
        <f t="shared" si="25"/>
        <v>193750</v>
      </c>
      <c r="R119" s="71">
        <f t="shared" si="25"/>
        <v>221875</v>
      </c>
    </row>
    <row r="120" spans="2:18" ht="16.2" thickBot="1" x14ac:dyDescent="0.35">
      <c r="B120" s="105" t="s">
        <v>27</v>
      </c>
      <c r="C120" s="106"/>
      <c r="D120" s="106" t="s">
        <v>135</v>
      </c>
      <c r="E120" s="107">
        <f>'[1]customer pricing'!$E$15</f>
        <v>0.1</v>
      </c>
      <c r="F120" s="108">
        <f>$E$6</f>
        <v>15000</v>
      </c>
      <c r="G120" s="23"/>
      <c r="H120" s="23"/>
      <c r="I120" s="109">
        <f t="shared" si="25"/>
        <v>12000</v>
      </c>
      <c r="J120" s="71">
        <f t="shared" si="25"/>
        <v>27000</v>
      </c>
      <c r="K120" s="71">
        <f t="shared" si="25"/>
        <v>40500</v>
      </c>
      <c r="L120" s="71">
        <f t="shared" si="25"/>
        <v>40500</v>
      </c>
      <c r="M120" s="71">
        <f t="shared" si="25"/>
        <v>54000</v>
      </c>
      <c r="N120" s="71">
        <f t="shared" si="25"/>
        <v>66000</v>
      </c>
      <c r="O120" s="71">
        <f t="shared" si="25"/>
        <v>79500</v>
      </c>
      <c r="P120" s="71">
        <f t="shared" si="25"/>
        <v>79500</v>
      </c>
      <c r="Q120" s="71">
        <f t="shared" si="25"/>
        <v>93000</v>
      </c>
      <c r="R120" s="71">
        <f t="shared" si="25"/>
        <v>106500</v>
      </c>
    </row>
    <row r="121" spans="2:18" x14ac:dyDescent="0.3">
      <c r="B121" s="110" t="s">
        <v>28</v>
      </c>
      <c r="C121" s="93" t="s">
        <v>38</v>
      </c>
      <c r="D121" s="94" t="s">
        <v>133</v>
      </c>
      <c r="E121" s="95">
        <f>'[1]customer pricing'!$C$14</f>
        <v>0.15</v>
      </c>
      <c r="F121" s="96">
        <f>$C$5</f>
        <v>8000</v>
      </c>
      <c r="G121" s="23"/>
      <c r="H121" s="23"/>
      <c r="I121" s="47">
        <f t="shared" ref="I121:R126" si="26">$E121*$F121*I$60</f>
        <v>0</v>
      </c>
      <c r="J121" s="47">
        <f t="shared" si="26"/>
        <v>0</v>
      </c>
      <c r="K121" s="47">
        <f t="shared" si="26"/>
        <v>0</v>
      </c>
      <c r="L121" s="47">
        <f t="shared" si="26"/>
        <v>0</v>
      </c>
      <c r="M121" s="47">
        <f t="shared" si="26"/>
        <v>0</v>
      </c>
      <c r="N121" s="47">
        <f t="shared" si="26"/>
        <v>0</v>
      </c>
      <c r="O121" s="47">
        <f t="shared" si="26"/>
        <v>0</v>
      </c>
      <c r="P121" s="47">
        <f t="shared" si="26"/>
        <v>0</v>
      </c>
      <c r="Q121" s="47">
        <f t="shared" si="26"/>
        <v>0</v>
      </c>
      <c r="R121" s="47">
        <f t="shared" si="26"/>
        <v>0</v>
      </c>
    </row>
    <row r="122" spans="2:18" x14ac:dyDescent="0.3">
      <c r="B122" s="97" t="s">
        <v>28</v>
      </c>
      <c r="C122" s="98"/>
      <c r="D122" s="21" t="s">
        <v>134</v>
      </c>
      <c r="E122" s="99">
        <f>'[1]customer pricing'!$D$14</f>
        <v>0.25</v>
      </c>
      <c r="F122" s="100">
        <f>$D$5</f>
        <v>10000</v>
      </c>
      <c r="G122" s="23"/>
      <c r="H122" s="23"/>
      <c r="I122" s="47">
        <f t="shared" si="26"/>
        <v>0</v>
      </c>
      <c r="J122" s="47">
        <f t="shared" si="26"/>
        <v>0</v>
      </c>
      <c r="K122" s="47">
        <f t="shared" si="26"/>
        <v>0</v>
      </c>
      <c r="L122" s="47">
        <f t="shared" si="26"/>
        <v>0</v>
      </c>
      <c r="M122" s="47">
        <f t="shared" si="26"/>
        <v>0</v>
      </c>
      <c r="N122" s="47">
        <f t="shared" si="26"/>
        <v>0</v>
      </c>
      <c r="O122" s="47">
        <f t="shared" si="26"/>
        <v>0</v>
      </c>
      <c r="P122" s="47">
        <f t="shared" si="26"/>
        <v>0</v>
      </c>
      <c r="Q122" s="47">
        <f t="shared" si="26"/>
        <v>0</v>
      </c>
      <c r="R122" s="47">
        <f t="shared" si="26"/>
        <v>0</v>
      </c>
    </row>
    <row r="123" spans="2:18" x14ac:dyDescent="0.3">
      <c r="B123" s="97" t="s">
        <v>28</v>
      </c>
      <c r="C123" s="98"/>
      <c r="D123" s="21" t="s">
        <v>135</v>
      </c>
      <c r="E123" s="99">
        <f>'[1]customer pricing'!$E$14</f>
        <v>0.1</v>
      </c>
      <c r="F123" s="100">
        <f>$E$5</f>
        <v>12000</v>
      </c>
      <c r="G123" s="23"/>
      <c r="H123" s="23"/>
      <c r="I123" s="47">
        <f t="shared" si="26"/>
        <v>0</v>
      </c>
      <c r="J123" s="47">
        <f t="shared" si="26"/>
        <v>0</v>
      </c>
      <c r="K123" s="47">
        <f t="shared" si="26"/>
        <v>0</v>
      </c>
      <c r="L123" s="47">
        <f t="shared" si="26"/>
        <v>0</v>
      </c>
      <c r="M123" s="47">
        <f t="shared" si="26"/>
        <v>0</v>
      </c>
      <c r="N123" s="47">
        <f t="shared" si="26"/>
        <v>0</v>
      </c>
      <c r="O123" s="47">
        <f t="shared" si="26"/>
        <v>0</v>
      </c>
      <c r="P123" s="47">
        <f t="shared" si="26"/>
        <v>0</v>
      </c>
      <c r="Q123" s="47">
        <f t="shared" si="26"/>
        <v>0</v>
      </c>
      <c r="R123" s="47">
        <f t="shared" si="26"/>
        <v>0</v>
      </c>
    </row>
    <row r="124" spans="2:18" x14ac:dyDescent="0.3">
      <c r="B124" s="97" t="s">
        <v>28</v>
      </c>
      <c r="C124" s="98" t="s">
        <v>136</v>
      </c>
      <c r="D124" s="21" t="s">
        <v>133</v>
      </c>
      <c r="E124" s="99">
        <f>'[1]customer pricing'!$C$15</f>
        <v>0.15</v>
      </c>
      <c r="F124" s="100">
        <f>$C$6</f>
        <v>10000</v>
      </c>
      <c r="G124" s="23"/>
      <c r="H124" s="23"/>
      <c r="I124" s="47">
        <f t="shared" si="26"/>
        <v>0</v>
      </c>
      <c r="J124" s="47">
        <f t="shared" si="26"/>
        <v>0</v>
      </c>
      <c r="K124" s="47">
        <f t="shared" si="26"/>
        <v>0</v>
      </c>
      <c r="L124" s="47">
        <f t="shared" si="26"/>
        <v>0</v>
      </c>
      <c r="M124" s="47">
        <f t="shared" si="26"/>
        <v>0</v>
      </c>
      <c r="N124" s="47">
        <f t="shared" si="26"/>
        <v>0</v>
      </c>
      <c r="O124" s="47">
        <f t="shared" si="26"/>
        <v>0</v>
      </c>
      <c r="P124" s="47">
        <f t="shared" si="26"/>
        <v>0</v>
      </c>
      <c r="Q124" s="47">
        <f t="shared" si="26"/>
        <v>0</v>
      </c>
      <c r="R124" s="47">
        <f t="shared" si="26"/>
        <v>0</v>
      </c>
    </row>
    <row r="125" spans="2:18" x14ac:dyDescent="0.3">
      <c r="B125" s="97" t="s">
        <v>28</v>
      </c>
      <c r="C125" s="98"/>
      <c r="D125" s="21" t="s">
        <v>134</v>
      </c>
      <c r="E125" s="99">
        <f>'[1]customer pricing'!$D$15</f>
        <v>0.25</v>
      </c>
      <c r="F125" s="100">
        <f>$D$6</f>
        <v>12500</v>
      </c>
      <c r="G125" s="23"/>
      <c r="H125" s="23"/>
      <c r="I125" s="47">
        <f t="shared" si="26"/>
        <v>0</v>
      </c>
      <c r="J125" s="47">
        <f t="shared" si="26"/>
        <v>0</v>
      </c>
      <c r="K125" s="47">
        <f t="shared" si="26"/>
        <v>0</v>
      </c>
      <c r="L125" s="47">
        <f t="shared" si="26"/>
        <v>0</v>
      </c>
      <c r="M125" s="47">
        <f t="shared" si="26"/>
        <v>0</v>
      </c>
      <c r="N125" s="47">
        <f t="shared" si="26"/>
        <v>0</v>
      </c>
      <c r="O125" s="47">
        <f t="shared" si="26"/>
        <v>0</v>
      </c>
      <c r="P125" s="47">
        <f t="shared" si="26"/>
        <v>0</v>
      </c>
      <c r="Q125" s="47">
        <f t="shared" si="26"/>
        <v>0</v>
      </c>
      <c r="R125" s="47">
        <f t="shared" si="26"/>
        <v>0</v>
      </c>
    </row>
    <row r="126" spans="2:18" ht="16.2" thickBot="1" x14ac:dyDescent="0.35">
      <c r="B126" s="101" t="s">
        <v>28</v>
      </c>
      <c r="C126" s="102"/>
      <c r="D126" s="102" t="s">
        <v>135</v>
      </c>
      <c r="E126" s="107">
        <f>'[1]customer pricing'!$E$15</f>
        <v>0.1</v>
      </c>
      <c r="F126" s="108">
        <f>$E$6</f>
        <v>15000</v>
      </c>
      <c r="G126" s="23"/>
      <c r="H126" s="23"/>
      <c r="I126" s="47">
        <f t="shared" si="26"/>
        <v>0</v>
      </c>
      <c r="J126" s="47">
        <f t="shared" si="26"/>
        <v>0</v>
      </c>
      <c r="K126" s="47">
        <f t="shared" si="26"/>
        <v>0</v>
      </c>
      <c r="L126" s="47">
        <f t="shared" si="26"/>
        <v>0</v>
      </c>
      <c r="M126" s="47">
        <f t="shared" si="26"/>
        <v>0</v>
      </c>
      <c r="N126" s="47">
        <f t="shared" si="26"/>
        <v>0</v>
      </c>
      <c r="O126" s="47">
        <f t="shared" si="26"/>
        <v>0</v>
      </c>
      <c r="P126" s="47">
        <f t="shared" si="26"/>
        <v>0</v>
      </c>
      <c r="Q126" s="47">
        <f t="shared" si="26"/>
        <v>0</v>
      </c>
      <c r="R126" s="47">
        <f t="shared" si="26"/>
        <v>0</v>
      </c>
    </row>
    <row r="127" spans="2:18" x14ac:dyDescent="0.3">
      <c r="B127" s="110" t="s">
        <v>29</v>
      </c>
      <c r="C127" s="93" t="s">
        <v>38</v>
      </c>
      <c r="D127" s="94" t="s">
        <v>133</v>
      </c>
      <c r="E127" s="95">
        <f>'[1]customer pricing'!$C$14</f>
        <v>0.15</v>
      </c>
      <c r="F127" s="96">
        <f>$C$5</f>
        <v>8000</v>
      </c>
      <c r="G127" s="23"/>
      <c r="H127" s="23"/>
      <c r="I127" s="71">
        <f t="shared" ref="I127:R132" si="27">$E127*$F127*I$61</f>
        <v>12000</v>
      </c>
      <c r="J127" s="71">
        <f t="shared" si="27"/>
        <v>26400</v>
      </c>
      <c r="K127" s="71">
        <f t="shared" si="27"/>
        <v>39600</v>
      </c>
      <c r="L127" s="71">
        <f t="shared" si="27"/>
        <v>39600</v>
      </c>
      <c r="M127" s="71">
        <f t="shared" si="27"/>
        <v>52800</v>
      </c>
      <c r="N127" s="71">
        <f t="shared" si="27"/>
        <v>66000</v>
      </c>
      <c r="O127" s="71">
        <f t="shared" si="27"/>
        <v>79200</v>
      </c>
      <c r="P127" s="71">
        <f t="shared" si="27"/>
        <v>79200</v>
      </c>
      <c r="Q127" s="71">
        <f t="shared" si="27"/>
        <v>92400</v>
      </c>
      <c r="R127" s="71">
        <f t="shared" si="27"/>
        <v>105600</v>
      </c>
    </row>
    <row r="128" spans="2:18" x14ac:dyDescent="0.3">
      <c r="B128" s="97" t="s">
        <v>29</v>
      </c>
      <c r="C128" s="98"/>
      <c r="D128" s="21" t="s">
        <v>134</v>
      </c>
      <c r="E128" s="99">
        <f>'[1]customer pricing'!$D$14</f>
        <v>0.25</v>
      </c>
      <c r="F128" s="100">
        <f>$D$5</f>
        <v>10000</v>
      </c>
      <c r="G128" s="23"/>
      <c r="H128" s="23"/>
      <c r="I128" s="71">
        <f t="shared" si="27"/>
        <v>25000</v>
      </c>
      <c r="J128" s="71">
        <f t="shared" si="27"/>
        <v>55000</v>
      </c>
      <c r="K128" s="71">
        <f t="shared" si="27"/>
        <v>82500</v>
      </c>
      <c r="L128" s="71">
        <f t="shared" si="27"/>
        <v>82500</v>
      </c>
      <c r="M128" s="71">
        <f t="shared" si="27"/>
        <v>110000</v>
      </c>
      <c r="N128" s="71">
        <f t="shared" si="27"/>
        <v>137500</v>
      </c>
      <c r="O128" s="71">
        <f t="shared" si="27"/>
        <v>165000</v>
      </c>
      <c r="P128" s="71">
        <f t="shared" si="27"/>
        <v>165000</v>
      </c>
      <c r="Q128" s="71">
        <f t="shared" si="27"/>
        <v>192500</v>
      </c>
      <c r="R128" s="71">
        <f t="shared" si="27"/>
        <v>220000</v>
      </c>
    </row>
    <row r="129" spans="2:18" x14ac:dyDescent="0.3">
      <c r="B129" s="97" t="s">
        <v>29</v>
      </c>
      <c r="C129" s="98"/>
      <c r="D129" s="21" t="s">
        <v>135</v>
      </c>
      <c r="E129" s="99">
        <f>'[1]customer pricing'!$E$14</f>
        <v>0.1</v>
      </c>
      <c r="F129" s="100">
        <f>$E$5</f>
        <v>12000</v>
      </c>
      <c r="G129" s="23"/>
      <c r="H129" s="23"/>
      <c r="I129" s="71">
        <f t="shared" si="27"/>
        <v>12000</v>
      </c>
      <c r="J129" s="71">
        <f t="shared" si="27"/>
        <v>26400</v>
      </c>
      <c r="K129" s="71">
        <f t="shared" si="27"/>
        <v>39600</v>
      </c>
      <c r="L129" s="71">
        <f t="shared" si="27"/>
        <v>39600</v>
      </c>
      <c r="M129" s="71">
        <f t="shared" si="27"/>
        <v>52800</v>
      </c>
      <c r="N129" s="71">
        <f t="shared" si="27"/>
        <v>66000</v>
      </c>
      <c r="O129" s="71">
        <f t="shared" si="27"/>
        <v>79200</v>
      </c>
      <c r="P129" s="71">
        <f t="shared" si="27"/>
        <v>79200</v>
      </c>
      <c r="Q129" s="71">
        <f t="shared" si="27"/>
        <v>92400</v>
      </c>
      <c r="R129" s="71">
        <f t="shared" si="27"/>
        <v>105600</v>
      </c>
    </row>
    <row r="130" spans="2:18" x14ac:dyDescent="0.3">
      <c r="B130" s="97" t="s">
        <v>29</v>
      </c>
      <c r="C130" s="98" t="s">
        <v>136</v>
      </c>
      <c r="D130" s="21" t="s">
        <v>133</v>
      </c>
      <c r="E130" s="99">
        <f>'[1]customer pricing'!$C$15</f>
        <v>0.15</v>
      </c>
      <c r="F130" s="100">
        <f>$C$6</f>
        <v>10000</v>
      </c>
      <c r="G130" s="23"/>
      <c r="H130" s="23"/>
      <c r="I130" s="71">
        <f t="shared" si="27"/>
        <v>15000</v>
      </c>
      <c r="J130" s="71">
        <f t="shared" si="27"/>
        <v>33000</v>
      </c>
      <c r="K130" s="71">
        <f t="shared" si="27"/>
        <v>49500</v>
      </c>
      <c r="L130" s="71">
        <f t="shared" si="27"/>
        <v>49500</v>
      </c>
      <c r="M130" s="71">
        <f t="shared" si="27"/>
        <v>66000</v>
      </c>
      <c r="N130" s="71">
        <f t="shared" si="27"/>
        <v>82500</v>
      </c>
      <c r="O130" s="71">
        <f t="shared" si="27"/>
        <v>99000</v>
      </c>
      <c r="P130" s="71">
        <f t="shared" si="27"/>
        <v>99000</v>
      </c>
      <c r="Q130" s="71">
        <f t="shared" si="27"/>
        <v>115500</v>
      </c>
      <c r="R130" s="71">
        <f t="shared" si="27"/>
        <v>132000</v>
      </c>
    </row>
    <row r="131" spans="2:18" x14ac:dyDescent="0.3">
      <c r="B131" s="97" t="s">
        <v>29</v>
      </c>
      <c r="C131" s="98"/>
      <c r="D131" s="21" t="s">
        <v>134</v>
      </c>
      <c r="E131" s="99">
        <f>'[1]customer pricing'!$D$15</f>
        <v>0.25</v>
      </c>
      <c r="F131" s="100">
        <f>$D$6</f>
        <v>12500</v>
      </c>
      <c r="G131" s="23"/>
      <c r="H131" s="23"/>
      <c r="I131" s="71">
        <f t="shared" si="27"/>
        <v>31250</v>
      </c>
      <c r="J131" s="71">
        <f t="shared" si="27"/>
        <v>68750</v>
      </c>
      <c r="K131" s="71">
        <f t="shared" si="27"/>
        <v>103125</v>
      </c>
      <c r="L131" s="71">
        <f t="shared" si="27"/>
        <v>103125</v>
      </c>
      <c r="M131" s="71">
        <f t="shared" si="27"/>
        <v>137500</v>
      </c>
      <c r="N131" s="71">
        <f t="shared" si="27"/>
        <v>171875</v>
      </c>
      <c r="O131" s="71">
        <f t="shared" si="27"/>
        <v>206250</v>
      </c>
      <c r="P131" s="71">
        <f t="shared" si="27"/>
        <v>206250</v>
      </c>
      <c r="Q131" s="71">
        <f t="shared" si="27"/>
        <v>240625</v>
      </c>
      <c r="R131" s="71">
        <f t="shared" si="27"/>
        <v>275000</v>
      </c>
    </row>
    <row r="132" spans="2:18" ht="16.2" thickBot="1" x14ac:dyDescent="0.35">
      <c r="B132" s="101" t="s">
        <v>29</v>
      </c>
      <c r="C132" s="102"/>
      <c r="D132" s="102" t="s">
        <v>135</v>
      </c>
      <c r="E132" s="107">
        <f>'[1]customer pricing'!$E$15</f>
        <v>0.1</v>
      </c>
      <c r="F132" s="108">
        <f>$E$6</f>
        <v>15000</v>
      </c>
      <c r="G132" s="23"/>
      <c r="H132" s="23"/>
      <c r="I132" s="109">
        <f t="shared" si="27"/>
        <v>15000</v>
      </c>
      <c r="J132" s="71">
        <f t="shared" si="27"/>
        <v>33000</v>
      </c>
      <c r="K132" s="71">
        <f t="shared" si="27"/>
        <v>49500</v>
      </c>
      <c r="L132" s="71">
        <f t="shared" si="27"/>
        <v>49500</v>
      </c>
      <c r="M132" s="71">
        <f t="shared" si="27"/>
        <v>66000</v>
      </c>
      <c r="N132" s="71">
        <f t="shared" si="27"/>
        <v>82500</v>
      </c>
      <c r="O132" s="71">
        <f t="shared" si="27"/>
        <v>99000</v>
      </c>
      <c r="P132" s="71">
        <f t="shared" si="27"/>
        <v>99000</v>
      </c>
      <c r="Q132" s="71">
        <f t="shared" si="27"/>
        <v>115500</v>
      </c>
      <c r="R132" s="71">
        <f t="shared" si="27"/>
        <v>132000</v>
      </c>
    </row>
    <row r="133" spans="2:18" x14ac:dyDescent="0.3">
      <c r="B133" s="110" t="s">
        <v>30</v>
      </c>
      <c r="C133" s="93" t="s">
        <v>38</v>
      </c>
      <c r="D133" s="94" t="s">
        <v>133</v>
      </c>
      <c r="E133" s="95">
        <f>'[1]customer pricing'!$C$14</f>
        <v>0.15</v>
      </c>
      <c r="F133" s="96">
        <f>$C$5</f>
        <v>8000</v>
      </c>
      <c r="G133" s="23"/>
      <c r="H133" s="23"/>
      <c r="I133" s="47">
        <f t="shared" ref="I133:R138" si="28">$E133*$F133*I$62</f>
        <v>0</v>
      </c>
      <c r="J133" s="47">
        <f t="shared" si="28"/>
        <v>0</v>
      </c>
      <c r="K133" s="47">
        <f t="shared" si="28"/>
        <v>0</v>
      </c>
      <c r="L133" s="47">
        <f t="shared" si="28"/>
        <v>0</v>
      </c>
      <c r="M133" s="47">
        <f t="shared" si="28"/>
        <v>0</v>
      </c>
      <c r="N133" s="47">
        <f t="shared" si="28"/>
        <v>0</v>
      </c>
      <c r="O133" s="47">
        <f t="shared" si="28"/>
        <v>0</v>
      </c>
      <c r="P133" s="47">
        <f t="shared" si="28"/>
        <v>0</v>
      </c>
      <c r="Q133" s="47">
        <f t="shared" si="28"/>
        <v>0</v>
      </c>
      <c r="R133" s="47">
        <f t="shared" si="28"/>
        <v>0</v>
      </c>
    </row>
    <row r="134" spans="2:18" x14ac:dyDescent="0.3">
      <c r="B134" s="97" t="s">
        <v>30</v>
      </c>
      <c r="C134" s="98"/>
      <c r="D134" s="21" t="s">
        <v>134</v>
      </c>
      <c r="E134" s="99">
        <f>'[1]customer pricing'!$D$14</f>
        <v>0.25</v>
      </c>
      <c r="F134" s="100">
        <f>$D$5</f>
        <v>10000</v>
      </c>
      <c r="G134" s="23"/>
      <c r="H134" s="23"/>
      <c r="I134" s="47">
        <f t="shared" si="28"/>
        <v>0</v>
      </c>
      <c r="J134" s="47">
        <f t="shared" si="28"/>
        <v>0</v>
      </c>
      <c r="K134" s="47">
        <f t="shared" si="28"/>
        <v>0</v>
      </c>
      <c r="L134" s="47">
        <f t="shared" si="28"/>
        <v>0</v>
      </c>
      <c r="M134" s="47">
        <f t="shared" si="28"/>
        <v>0</v>
      </c>
      <c r="N134" s="47">
        <f t="shared" si="28"/>
        <v>0</v>
      </c>
      <c r="O134" s="47">
        <f t="shared" si="28"/>
        <v>0</v>
      </c>
      <c r="P134" s="47">
        <f t="shared" si="28"/>
        <v>0</v>
      </c>
      <c r="Q134" s="47">
        <f t="shared" si="28"/>
        <v>0</v>
      </c>
      <c r="R134" s="47">
        <f t="shared" si="28"/>
        <v>0</v>
      </c>
    </row>
    <row r="135" spans="2:18" x14ac:dyDescent="0.3">
      <c r="B135" s="97" t="s">
        <v>30</v>
      </c>
      <c r="C135" s="98"/>
      <c r="D135" s="21" t="s">
        <v>135</v>
      </c>
      <c r="E135" s="99">
        <f>'[1]customer pricing'!$E$14</f>
        <v>0.1</v>
      </c>
      <c r="F135" s="100">
        <f>$E$5</f>
        <v>12000</v>
      </c>
      <c r="G135" s="23"/>
      <c r="H135" s="23"/>
      <c r="I135" s="47">
        <f t="shared" si="28"/>
        <v>0</v>
      </c>
      <c r="J135" s="47">
        <f t="shared" si="28"/>
        <v>0</v>
      </c>
      <c r="K135" s="47">
        <f t="shared" si="28"/>
        <v>0</v>
      </c>
      <c r="L135" s="47">
        <f t="shared" si="28"/>
        <v>0</v>
      </c>
      <c r="M135" s="47">
        <f t="shared" si="28"/>
        <v>0</v>
      </c>
      <c r="N135" s="47">
        <f t="shared" si="28"/>
        <v>0</v>
      </c>
      <c r="O135" s="47">
        <f t="shared" si="28"/>
        <v>0</v>
      </c>
      <c r="P135" s="47">
        <f t="shared" si="28"/>
        <v>0</v>
      </c>
      <c r="Q135" s="47">
        <f t="shared" si="28"/>
        <v>0</v>
      </c>
      <c r="R135" s="47">
        <f t="shared" si="28"/>
        <v>0</v>
      </c>
    </row>
    <row r="136" spans="2:18" x14ac:dyDescent="0.3">
      <c r="B136" s="97" t="s">
        <v>30</v>
      </c>
      <c r="C136" s="98" t="s">
        <v>136</v>
      </c>
      <c r="D136" s="21" t="s">
        <v>133</v>
      </c>
      <c r="E136" s="99">
        <f>'[1]customer pricing'!$C$15</f>
        <v>0.15</v>
      </c>
      <c r="F136" s="100">
        <f>$C$6</f>
        <v>10000</v>
      </c>
      <c r="G136" s="23"/>
      <c r="H136" s="23"/>
      <c r="I136" s="47">
        <f t="shared" si="28"/>
        <v>0</v>
      </c>
      <c r="J136" s="47">
        <f t="shared" si="28"/>
        <v>0</v>
      </c>
      <c r="K136" s="47">
        <f t="shared" si="28"/>
        <v>0</v>
      </c>
      <c r="L136" s="47">
        <f t="shared" si="28"/>
        <v>0</v>
      </c>
      <c r="M136" s="47">
        <f t="shared" si="28"/>
        <v>0</v>
      </c>
      <c r="N136" s="47">
        <f t="shared" si="28"/>
        <v>0</v>
      </c>
      <c r="O136" s="47">
        <f t="shared" si="28"/>
        <v>0</v>
      </c>
      <c r="P136" s="47">
        <f t="shared" si="28"/>
        <v>0</v>
      </c>
      <c r="Q136" s="47">
        <f t="shared" si="28"/>
        <v>0</v>
      </c>
      <c r="R136" s="47">
        <f t="shared" si="28"/>
        <v>0</v>
      </c>
    </row>
    <row r="137" spans="2:18" x14ac:dyDescent="0.3">
      <c r="B137" s="97" t="s">
        <v>30</v>
      </c>
      <c r="C137" s="98"/>
      <c r="D137" s="21" t="s">
        <v>134</v>
      </c>
      <c r="E137" s="99">
        <f>'[1]customer pricing'!$D$15</f>
        <v>0.25</v>
      </c>
      <c r="F137" s="100">
        <f>$D$6</f>
        <v>12500</v>
      </c>
      <c r="G137" s="23"/>
      <c r="H137" s="23"/>
      <c r="I137" s="47">
        <f t="shared" si="28"/>
        <v>0</v>
      </c>
      <c r="J137" s="47">
        <f t="shared" si="28"/>
        <v>0</v>
      </c>
      <c r="K137" s="47">
        <f t="shared" si="28"/>
        <v>0</v>
      </c>
      <c r="L137" s="47">
        <f t="shared" si="28"/>
        <v>0</v>
      </c>
      <c r="M137" s="47">
        <f t="shared" si="28"/>
        <v>0</v>
      </c>
      <c r="N137" s="47">
        <f t="shared" si="28"/>
        <v>0</v>
      </c>
      <c r="O137" s="47">
        <f t="shared" si="28"/>
        <v>0</v>
      </c>
      <c r="P137" s="47">
        <f t="shared" si="28"/>
        <v>0</v>
      </c>
      <c r="Q137" s="47">
        <f t="shared" si="28"/>
        <v>0</v>
      </c>
      <c r="R137" s="47">
        <f t="shared" si="28"/>
        <v>0</v>
      </c>
    </row>
    <row r="138" spans="2:18" ht="16.2" thickBot="1" x14ac:dyDescent="0.35">
      <c r="B138" s="101" t="s">
        <v>30</v>
      </c>
      <c r="C138" s="102"/>
      <c r="D138" s="102" t="s">
        <v>135</v>
      </c>
      <c r="E138" s="103">
        <f>'[1]customer pricing'!$E$15</f>
        <v>0.1</v>
      </c>
      <c r="F138" s="104">
        <f>$E$6</f>
        <v>15000</v>
      </c>
      <c r="G138" s="23"/>
      <c r="H138" s="23"/>
      <c r="I138" s="47">
        <f t="shared" si="28"/>
        <v>0</v>
      </c>
      <c r="J138" s="47">
        <f t="shared" si="28"/>
        <v>0</v>
      </c>
      <c r="K138" s="47">
        <f t="shared" si="28"/>
        <v>0</v>
      </c>
      <c r="L138" s="47">
        <f t="shared" si="28"/>
        <v>0</v>
      </c>
      <c r="M138" s="47">
        <f t="shared" si="28"/>
        <v>0</v>
      </c>
      <c r="N138" s="47">
        <f t="shared" si="28"/>
        <v>0</v>
      </c>
      <c r="O138" s="47">
        <f t="shared" si="28"/>
        <v>0</v>
      </c>
      <c r="P138" s="47">
        <f t="shared" si="28"/>
        <v>0</v>
      </c>
      <c r="Q138" s="47">
        <f t="shared" si="28"/>
        <v>0</v>
      </c>
      <c r="R138" s="47">
        <f t="shared" si="28"/>
        <v>0</v>
      </c>
    </row>
    <row r="139" spans="2:18" x14ac:dyDescent="0.3">
      <c r="B139" s="111" t="s">
        <v>31</v>
      </c>
      <c r="C139" s="112" t="s">
        <v>38</v>
      </c>
      <c r="D139" s="113" t="s">
        <v>133</v>
      </c>
      <c r="E139" s="114">
        <f>'[1]customer pricing'!$C$14</f>
        <v>0.15</v>
      </c>
      <c r="F139" s="115">
        <f>$C$5</f>
        <v>8000</v>
      </c>
      <c r="G139" s="23"/>
      <c r="H139" s="23"/>
      <c r="I139" s="71">
        <f t="shared" ref="I139:R144" si="29">$E139*$F139*I$63</f>
        <v>0</v>
      </c>
      <c r="J139" s="71">
        <f t="shared" si="29"/>
        <v>0</v>
      </c>
      <c r="K139" s="71">
        <f t="shared" si="29"/>
        <v>0</v>
      </c>
      <c r="L139" s="71">
        <f t="shared" si="29"/>
        <v>0</v>
      </c>
      <c r="M139" s="71">
        <f t="shared" si="29"/>
        <v>0</v>
      </c>
      <c r="N139" s="71">
        <f t="shared" si="29"/>
        <v>0</v>
      </c>
      <c r="O139" s="71">
        <f t="shared" si="29"/>
        <v>0</v>
      </c>
      <c r="P139" s="71">
        <f t="shared" si="29"/>
        <v>0</v>
      </c>
      <c r="Q139" s="71">
        <f t="shared" si="29"/>
        <v>0</v>
      </c>
      <c r="R139" s="71">
        <f t="shared" si="29"/>
        <v>0</v>
      </c>
    </row>
    <row r="140" spans="2:18" x14ac:dyDescent="0.3">
      <c r="B140" s="97" t="s">
        <v>31</v>
      </c>
      <c r="C140" s="98"/>
      <c r="D140" s="21" t="s">
        <v>134</v>
      </c>
      <c r="E140" s="99">
        <f>'[1]customer pricing'!$D$14</f>
        <v>0.25</v>
      </c>
      <c r="F140" s="100">
        <f>$D$5</f>
        <v>10000</v>
      </c>
      <c r="G140" s="23"/>
      <c r="H140" s="23"/>
      <c r="I140" s="71">
        <f t="shared" si="29"/>
        <v>0</v>
      </c>
      <c r="J140" s="71">
        <f t="shared" si="29"/>
        <v>0</v>
      </c>
      <c r="K140" s="71">
        <f t="shared" si="29"/>
        <v>0</v>
      </c>
      <c r="L140" s="71">
        <f t="shared" si="29"/>
        <v>0</v>
      </c>
      <c r="M140" s="71">
        <f t="shared" si="29"/>
        <v>0</v>
      </c>
      <c r="N140" s="71">
        <f t="shared" si="29"/>
        <v>0</v>
      </c>
      <c r="O140" s="71">
        <f t="shared" si="29"/>
        <v>0</v>
      </c>
      <c r="P140" s="71">
        <f t="shared" si="29"/>
        <v>0</v>
      </c>
      <c r="Q140" s="71">
        <f t="shared" si="29"/>
        <v>0</v>
      </c>
      <c r="R140" s="71">
        <f t="shared" si="29"/>
        <v>0</v>
      </c>
    </row>
    <row r="141" spans="2:18" x14ac:dyDescent="0.3">
      <c r="B141" s="97" t="s">
        <v>31</v>
      </c>
      <c r="C141" s="98"/>
      <c r="D141" s="21" t="s">
        <v>135</v>
      </c>
      <c r="E141" s="99">
        <f>'[1]customer pricing'!$E$14</f>
        <v>0.1</v>
      </c>
      <c r="F141" s="100">
        <f>$E$5</f>
        <v>12000</v>
      </c>
      <c r="G141" s="56"/>
      <c r="H141" s="56"/>
      <c r="I141" s="71">
        <f t="shared" si="29"/>
        <v>0</v>
      </c>
      <c r="J141" s="71">
        <f t="shared" si="29"/>
        <v>0</v>
      </c>
      <c r="K141" s="71">
        <f t="shared" si="29"/>
        <v>0</v>
      </c>
      <c r="L141" s="71">
        <f t="shared" si="29"/>
        <v>0</v>
      </c>
      <c r="M141" s="71">
        <f t="shared" si="29"/>
        <v>0</v>
      </c>
      <c r="N141" s="71">
        <f t="shared" si="29"/>
        <v>0</v>
      </c>
      <c r="O141" s="71">
        <f t="shared" si="29"/>
        <v>0</v>
      </c>
      <c r="P141" s="71">
        <f t="shared" si="29"/>
        <v>0</v>
      </c>
      <c r="Q141" s="71">
        <f t="shared" si="29"/>
        <v>0</v>
      </c>
      <c r="R141" s="71">
        <f t="shared" si="29"/>
        <v>0</v>
      </c>
    </row>
    <row r="142" spans="2:18" x14ac:dyDescent="0.3">
      <c r="B142" s="97" t="s">
        <v>31</v>
      </c>
      <c r="C142" s="98" t="s">
        <v>136</v>
      </c>
      <c r="D142" s="21" t="s">
        <v>133</v>
      </c>
      <c r="E142" s="99">
        <f>'[1]customer pricing'!$C$15</f>
        <v>0.15</v>
      </c>
      <c r="F142" s="100">
        <f>$C$6</f>
        <v>10000</v>
      </c>
      <c r="G142" s="56"/>
      <c r="H142" s="56"/>
      <c r="I142" s="71">
        <f t="shared" si="29"/>
        <v>0</v>
      </c>
      <c r="J142" s="71">
        <f t="shared" si="29"/>
        <v>0</v>
      </c>
      <c r="K142" s="71">
        <f t="shared" si="29"/>
        <v>0</v>
      </c>
      <c r="L142" s="71">
        <f t="shared" si="29"/>
        <v>0</v>
      </c>
      <c r="M142" s="71">
        <f t="shared" si="29"/>
        <v>0</v>
      </c>
      <c r="N142" s="71">
        <f t="shared" si="29"/>
        <v>0</v>
      </c>
      <c r="O142" s="71">
        <f t="shared" si="29"/>
        <v>0</v>
      </c>
      <c r="P142" s="71">
        <f t="shared" si="29"/>
        <v>0</v>
      </c>
      <c r="Q142" s="71">
        <f t="shared" si="29"/>
        <v>0</v>
      </c>
      <c r="R142" s="71">
        <f t="shared" si="29"/>
        <v>0</v>
      </c>
    </row>
    <row r="143" spans="2:18" x14ac:dyDescent="0.3">
      <c r="B143" s="97" t="s">
        <v>31</v>
      </c>
      <c r="C143" s="98"/>
      <c r="D143" s="21" t="s">
        <v>134</v>
      </c>
      <c r="E143" s="99">
        <f>'[1]customer pricing'!$D$15</f>
        <v>0.25</v>
      </c>
      <c r="F143" s="100">
        <f>$D$6</f>
        <v>12500</v>
      </c>
      <c r="G143" s="56"/>
      <c r="H143" s="56"/>
      <c r="I143" s="71">
        <f t="shared" si="29"/>
        <v>0</v>
      </c>
      <c r="J143" s="71">
        <f t="shared" si="29"/>
        <v>0</v>
      </c>
      <c r="K143" s="71">
        <f t="shared" si="29"/>
        <v>0</v>
      </c>
      <c r="L143" s="71">
        <f t="shared" si="29"/>
        <v>0</v>
      </c>
      <c r="M143" s="71">
        <f t="shared" si="29"/>
        <v>0</v>
      </c>
      <c r="N143" s="71">
        <f t="shared" si="29"/>
        <v>0</v>
      </c>
      <c r="O143" s="71">
        <f t="shared" si="29"/>
        <v>0</v>
      </c>
      <c r="P143" s="71">
        <f t="shared" si="29"/>
        <v>0</v>
      </c>
      <c r="Q143" s="71">
        <f t="shared" si="29"/>
        <v>0</v>
      </c>
      <c r="R143" s="71">
        <f t="shared" si="29"/>
        <v>0</v>
      </c>
    </row>
    <row r="144" spans="2:18" ht="16.2" thickBot="1" x14ac:dyDescent="0.35">
      <c r="B144" s="101" t="s">
        <v>31</v>
      </c>
      <c r="C144" s="102"/>
      <c r="D144" s="102" t="s">
        <v>135</v>
      </c>
      <c r="E144" s="103">
        <f>'[1]customer pricing'!$E$15</f>
        <v>0.1</v>
      </c>
      <c r="F144" s="104">
        <f>$E$6</f>
        <v>15000</v>
      </c>
      <c r="G144" s="23"/>
      <c r="H144" s="23"/>
      <c r="I144" s="71">
        <f t="shared" si="29"/>
        <v>0</v>
      </c>
      <c r="J144" s="71">
        <f t="shared" si="29"/>
        <v>0</v>
      </c>
      <c r="K144" s="71">
        <f t="shared" si="29"/>
        <v>0</v>
      </c>
      <c r="L144" s="71">
        <f t="shared" si="29"/>
        <v>0</v>
      </c>
      <c r="M144" s="71">
        <f t="shared" si="29"/>
        <v>0</v>
      </c>
      <c r="N144" s="71">
        <f t="shared" si="29"/>
        <v>0</v>
      </c>
      <c r="O144" s="71">
        <f t="shared" si="29"/>
        <v>0</v>
      </c>
      <c r="P144" s="71">
        <f t="shared" si="29"/>
        <v>0</v>
      </c>
      <c r="Q144" s="71">
        <f t="shared" si="29"/>
        <v>0</v>
      </c>
      <c r="R144" s="71">
        <f t="shared" si="29"/>
        <v>0</v>
      </c>
    </row>
    <row r="145" spans="2:18" x14ac:dyDescent="0.3">
      <c r="C145" s="22"/>
      <c r="D145" s="22"/>
      <c r="I145" s="119">
        <f t="shared" ref="I145:R145" si="30">SUM(I109:I144)</f>
        <v>220500</v>
      </c>
      <c r="J145" s="119">
        <f t="shared" si="30"/>
        <v>496125</v>
      </c>
      <c r="K145" s="119">
        <f t="shared" si="30"/>
        <v>738675</v>
      </c>
      <c r="L145" s="119">
        <f t="shared" si="30"/>
        <v>738675</v>
      </c>
      <c r="M145" s="119">
        <f t="shared" si="30"/>
        <v>981225</v>
      </c>
      <c r="N145" s="119">
        <f t="shared" si="30"/>
        <v>1212750</v>
      </c>
      <c r="O145" s="119">
        <f t="shared" si="30"/>
        <v>1466325</v>
      </c>
      <c r="P145" s="119">
        <f t="shared" si="30"/>
        <v>1466325</v>
      </c>
      <c r="Q145" s="119">
        <f t="shared" si="30"/>
        <v>1708875</v>
      </c>
      <c r="R145" s="119">
        <f t="shared" si="30"/>
        <v>1951425</v>
      </c>
    </row>
    <row r="148" spans="2:18" x14ac:dyDescent="0.3">
      <c r="B148" s="23" t="s">
        <v>15</v>
      </c>
      <c r="C148" s="20">
        <v>1</v>
      </c>
      <c r="D148" s="20">
        <f t="shared" ref="D148:N148" si="31">C148+1</f>
        <v>2</v>
      </c>
      <c r="E148" s="16">
        <f t="shared" si="31"/>
        <v>3</v>
      </c>
      <c r="F148" s="16">
        <f t="shared" si="31"/>
        <v>4</v>
      </c>
      <c r="G148" s="16">
        <f t="shared" si="31"/>
        <v>5</v>
      </c>
      <c r="H148" s="16">
        <f t="shared" si="31"/>
        <v>6</v>
      </c>
      <c r="I148" s="16">
        <f t="shared" si="31"/>
        <v>7</v>
      </c>
      <c r="J148" s="16">
        <f t="shared" si="31"/>
        <v>8</v>
      </c>
      <c r="K148" s="16">
        <f t="shared" si="31"/>
        <v>9</v>
      </c>
      <c r="L148" s="16">
        <f t="shared" si="31"/>
        <v>10</v>
      </c>
      <c r="M148" s="16">
        <f t="shared" si="31"/>
        <v>11</v>
      </c>
      <c r="N148" s="16">
        <f t="shared" si="31"/>
        <v>12</v>
      </c>
    </row>
    <row r="149" spans="2:18" x14ac:dyDescent="0.3">
      <c r="B149" s="23" t="s">
        <v>196</v>
      </c>
      <c r="C149" s="60">
        <f t="shared" ref="C149:N149" si="32">G105</f>
        <v>0</v>
      </c>
      <c r="D149" s="60">
        <f t="shared" si="32"/>
        <v>0</v>
      </c>
      <c r="E149" s="47">
        <f t="shared" si="32"/>
        <v>0</v>
      </c>
      <c r="F149" s="47">
        <f t="shared" si="32"/>
        <v>0</v>
      </c>
      <c r="G149" s="47">
        <f t="shared" si="32"/>
        <v>0</v>
      </c>
      <c r="H149" s="47">
        <f t="shared" si="32"/>
        <v>154350</v>
      </c>
      <c r="I149" s="47">
        <f t="shared" si="32"/>
        <v>154350</v>
      </c>
      <c r="J149" s="47">
        <f t="shared" si="32"/>
        <v>154350</v>
      </c>
      <c r="K149" s="47">
        <f t="shared" si="32"/>
        <v>154350</v>
      </c>
      <c r="L149" s="47">
        <f t="shared" si="32"/>
        <v>286650</v>
      </c>
      <c r="M149" s="47">
        <f t="shared" si="32"/>
        <v>286650</v>
      </c>
      <c r="N149" s="47">
        <f t="shared" si="32"/>
        <v>286650</v>
      </c>
    </row>
    <row r="150" spans="2:18" x14ac:dyDescent="0.3">
      <c r="B150" s="23" t="s">
        <v>197</v>
      </c>
      <c r="C150" s="60">
        <f>G58*D5</f>
        <v>10000</v>
      </c>
      <c r="D150" s="60">
        <f>H58*D5</f>
        <v>20000</v>
      </c>
      <c r="E150" s="47">
        <f t="shared" ref="E150:N150" si="33">I145</f>
        <v>220500</v>
      </c>
      <c r="F150" s="47">
        <f t="shared" si="33"/>
        <v>496125</v>
      </c>
      <c r="G150" s="47">
        <f t="shared" si="33"/>
        <v>738675</v>
      </c>
      <c r="H150" s="47">
        <f t="shared" si="33"/>
        <v>738675</v>
      </c>
      <c r="I150" s="47">
        <f t="shared" si="33"/>
        <v>981225</v>
      </c>
      <c r="J150" s="47">
        <f t="shared" si="33"/>
        <v>1212750</v>
      </c>
      <c r="K150" s="47">
        <f t="shared" si="33"/>
        <v>1466325</v>
      </c>
      <c r="L150" s="47">
        <f t="shared" si="33"/>
        <v>1466325</v>
      </c>
      <c r="M150" s="47">
        <f t="shared" si="33"/>
        <v>1708875</v>
      </c>
      <c r="N150" s="47">
        <f t="shared" si="33"/>
        <v>1951425</v>
      </c>
    </row>
    <row r="151" spans="2:18" x14ac:dyDescent="0.3">
      <c r="B151" s="43" t="s">
        <v>1</v>
      </c>
      <c r="C151" s="49">
        <f t="shared" ref="C151:N151" si="34">SUM(C149:C150)</f>
        <v>10000</v>
      </c>
      <c r="D151" s="49">
        <f t="shared" si="34"/>
        <v>20000</v>
      </c>
      <c r="E151" s="49">
        <f t="shared" si="34"/>
        <v>220500</v>
      </c>
      <c r="F151" s="49">
        <f t="shared" si="34"/>
        <v>496125</v>
      </c>
      <c r="G151" s="49">
        <f t="shared" si="34"/>
        <v>738675</v>
      </c>
      <c r="H151" s="49">
        <f t="shared" si="34"/>
        <v>893025</v>
      </c>
      <c r="I151" s="49">
        <f t="shared" si="34"/>
        <v>1135575</v>
      </c>
      <c r="J151" s="49">
        <f t="shared" si="34"/>
        <v>1367100</v>
      </c>
      <c r="K151" s="49">
        <f t="shared" si="34"/>
        <v>1620675</v>
      </c>
      <c r="L151" s="49">
        <f t="shared" si="34"/>
        <v>1752975</v>
      </c>
      <c r="M151" s="49">
        <f t="shared" si="34"/>
        <v>1995525</v>
      </c>
      <c r="N151" s="49">
        <f t="shared" si="34"/>
        <v>2238075</v>
      </c>
    </row>
    <row r="153" spans="2:18" x14ac:dyDescent="0.3">
      <c r="E153" s="13"/>
      <c r="F153" s="13"/>
      <c r="G153" s="13"/>
      <c r="H153" s="13"/>
      <c r="I153" s="13"/>
      <c r="J153" s="13"/>
      <c r="K153" s="13"/>
      <c r="L153" s="13"/>
      <c r="M153" s="13"/>
      <c r="N153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3AF9-9E6D-3E48-B425-4FE82975EB3A}">
  <sheetPr>
    <tabColor rgb="FFFFFF00"/>
  </sheetPr>
  <dimension ref="B2:P89"/>
  <sheetViews>
    <sheetView showGridLines="0" zoomScale="90" zoomScaleNormal="90" workbookViewId="0"/>
  </sheetViews>
  <sheetFormatPr defaultColWidth="11.19921875" defaultRowHeight="15.6" x14ac:dyDescent="0.3"/>
  <cols>
    <col min="1" max="1" width="4.19921875" customWidth="1"/>
    <col min="2" max="2" width="38.5" customWidth="1"/>
  </cols>
  <sheetData>
    <row r="2" spans="2:16" ht="23.4" x14ac:dyDescent="0.45">
      <c r="B2" s="45" t="s">
        <v>33</v>
      </c>
    </row>
    <row r="3" spans="2:16" ht="9" customHeight="1" x14ac:dyDescent="0.3"/>
    <row r="4" spans="2:16" ht="18" x14ac:dyDescent="0.35">
      <c r="B4" s="8" t="s">
        <v>24</v>
      </c>
    </row>
    <row r="5" spans="2:16" s="22" customFormat="1" x14ac:dyDescent="0.3">
      <c r="B5" s="170" t="s">
        <v>25</v>
      </c>
      <c r="C5" s="20">
        <v>1</v>
      </c>
      <c r="D5" s="20">
        <f t="shared" ref="D5:N5" si="0">C5+1</f>
        <v>2</v>
      </c>
      <c r="E5" s="16">
        <f t="shared" si="0"/>
        <v>3</v>
      </c>
      <c r="F5" s="16">
        <f t="shared" si="0"/>
        <v>4</v>
      </c>
      <c r="G5" s="16">
        <f t="shared" si="0"/>
        <v>5</v>
      </c>
      <c r="H5" s="16">
        <f t="shared" si="0"/>
        <v>6</v>
      </c>
      <c r="I5" s="16">
        <f t="shared" si="0"/>
        <v>7</v>
      </c>
      <c r="J5" s="16">
        <f t="shared" si="0"/>
        <v>8</v>
      </c>
      <c r="K5" s="16">
        <f t="shared" si="0"/>
        <v>9</v>
      </c>
      <c r="L5" s="16">
        <f t="shared" si="0"/>
        <v>10</v>
      </c>
      <c r="M5" s="16">
        <f t="shared" si="0"/>
        <v>11</v>
      </c>
      <c r="N5" s="16">
        <f t="shared" si="0"/>
        <v>12</v>
      </c>
    </row>
    <row r="6" spans="2:16" x14ac:dyDescent="0.3">
      <c r="B6" s="23" t="s">
        <v>26</v>
      </c>
      <c r="C6" s="23"/>
      <c r="D6" s="23"/>
      <c r="E6" s="24">
        <f>'Private Health Pricing'!I48</f>
        <v>0</v>
      </c>
      <c r="F6" s="24">
        <f>'Private Health Pricing'!J48</f>
        <v>0</v>
      </c>
      <c r="G6" s="24">
        <f>'Private Health Pricing'!K48</f>
        <v>0</v>
      </c>
      <c r="H6" s="24">
        <f>'Private Health Pricing'!L48</f>
        <v>2</v>
      </c>
      <c r="I6" s="24">
        <f>'Private Health Pricing'!M48</f>
        <v>2</v>
      </c>
      <c r="J6" s="24">
        <f>'Private Health Pricing'!N48</f>
        <v>2</v>
      </c>
      <c r="K6" s="24">
        <f>'Private Health Pricing'!O48</f>
        <v>2</v>
      </c>
      <c r="L6" s="24">
        <f>'Private Health Pricing'!P48</f>
        <v>3</v>
      </c>
      <c r="M6" s="24">
        <f>'Private Health Pricing'!Q48</f>
        <v>3</v>
      </c>
      <c r="N6" s="24">
        <f>'Private Health Pricing'!R48</f>
        <v>3</v>
      </c>
      <c r="O6" s="25"/>
      <c r="P6" s="25"/>
    </row>
    <row r="7" spans="2:16" x14ac:dyDescent="0.3">
      <c r="B7" s="23" t="s">
        <v>27</v>
      </c>
      <c r="C7" s="23"/>
      <c r="D7" s="23"/>
      <c r="E7" s="24">
        <f>'Private Health Pricing'!I49</f>
        <v>0</v>
      </c>
      <c r="F7" s="24">
        <f>'Private Health Pricing'!J49</f>
        <v>0</v>
      </c>
      <c r="G7" s="24">
        <f>'Private Health Pricing'!K49</f>
        <v>0</v>
      </c>
      <c r="H7" s="24">
        <f>'Private Health Pricing'!L49</f>
        <v>7</v>
      </c>
      <c r="I7" s="24">
        <f>'Private Health Pricing'!M49</f>
        <v>7</v>
      </c>
      <c r="J7" s="24">
        <f>'Private Health Pricing'!N49</f>
        <v>7</v>
      </c>
      <c r="K7" s="24">
        <f>'Private Health Pricing'!O49</f>
        <v>7</v>
      </c>
      <c r="L7" s="24">
        <f>'Private Health Pricing'!P49</f>
        <v>14</v>
      </c>
      <c r="M7" s="24">
        <f>'Private Health Pricing'!Q49</f>
        <v>14</v>
      </c>
      <c r="N7" s="24">
        <f>'Private Health Pricing'!R49</f>
        <v>14</v>
      </c>
      <c r="O7" s="25"/>
    </row>
    <row r="8" spans="2:16" x14ac:dyDescent="0.3">
      <c r="B8" s="23" t="s">
        <v>28</v>
      </c>
      <c r="C8" s="23"/>
      <c r="D8" s="23"/>
      <c r="E8" s="24">
        <f>'Private Health Pricing'!I50</f>
        <v>0</v>
      </c>
      <c r="F8" s="24">
        <f>'Private Health Pricing'!J50</f>
        <v>0</v>
      </c>
      <c r="G8" s="24">
        <f>'Private Health Pricing'!K50</f>
        <v>0</v>
      </c>
      <c r="H8" s="24">
        <f>'Private Health Pricing'!L50</f>
        <v>0</v>
      </c>
      <c r="I8" s="24">
        <f>'Private Health Pricing'!M50</f>
        <v>0</v>
      </c>
      <c r="J8" s="24">
        <f>'Private Health Pricing'!N50</f>
        <v>0</v>
      </c>
      <c r="K8" s="24">
        <f>'Private Health Pricing'!O50</f>
        <v>0</v>
      </c>
      <c r="L8" s="24">
        <f>'Private Health Pricing'!P50</f>
        <v>0</v>
      </c>
      <c r="M8" s="24">
        <f>'Private Health Pricing'!Q50</f>
        <v>0</v>
      </c>
      <c r="N8" s="24">
        <f>'Private Health Pricing'!R50</f>
        <v>0</v>
      </c>
      <c r="O8" s="25"/>
    </row>
    <row r="9" spans="2:16" x14ac:dyDescent="0.3">
      <c r="B9" s="23" t="s">
        <v>29</v>
      </c>
      <c r="C9" s="23"/>
      <c r="D9" s="23"/>
      <c r="E9" s="24">
        <f>'Private Health Pricing'!I51</f>
        <v>0</v>
      </c>
      <c r="F9" s="24">
        <f>'Private Health Pricing'!J51</f>
        <v>0</v>
      </c>
      <c r="G9" s="24">
        <f>'Private Health Pricing'!K51</f>
        <v>0</v>
      </c>
      <c r="H9" s="24">
        <f>'Private Health Pricing'!L51</f>
        <v>5</v>
      </c>
      <c r="I9" s="24">
        <f>'Private Health Pricing'!M51</f>
        <v>5</v>
      </c>
      <c r="J9" s="24">
        <f>'Private Health Pricing'!N51</f>
        <v>5</v>
      </c>
      <c r="K9" s="24">
        <f>'Private Health Pricing'!O51</f>
        <v>5</v>
      </c>
      <c r="L9" s="24">
        <f>'Private Health Pricing'!P51</f>
        <v>9</v>
      </c>
      <c r="M9" s="24">
        <f>'Private Health Pricing'!Q51</f>
        <v>9</v>
      </c>
      <c r="N9" s="24">
        <f>'Private Health Pricing'!R51</f>
        <v>9</v>
      </c>
      <c r="O9" s="25"/>
    </row>
    <row r="10" spans="2:16" x14ac:dyDescent="0.3">
      <c r="B10" s="23" t="s">
        <v>30</v>
      </c>
      <c r="C10" s="23"/>
      <c r="D10" s="23"/>
      <c r="E10" s="24">
        <f>'Private Health Pricing'!I52</f>
        <v>0</v>
      </c>
      <c r="F10" s="24">
        <f>'Private Health Pricing'!J52</f>
        <v>0</v>
      </c>
      <c r="G10" s="24">
        <f>'Private Health Pricing'!K52</f>
        <v>0</v>
      </c>
      <c r="H10" s="24">
        <f>'Private Health Pricing'!L52</f>
        <v>0</v>
      </c>
      <c r="I10" s="24">
        <f>'Private Health Pricing'!M52</f>
        <v>0</v>
      </c>
      <c r="J10" s="24">
        <f>'Private Health Pricing'!N52</f>
        <v>0</v>
      </c>
      <c r="K10" s="24">
        <f>'Private Health Pricing'!O52</f>
        <v>0</v>
      </c>
      <c r="L10" s="24">
        <f>'Private Health Pricing'!P52</f>
        <v>0</v>
      </c>
      <c r="M10" s="24">
        <f>'Private Health Pricing'!Q52</f>
        <v>0</v>
      </c>
      <c r="N10" s="24">
        <f>'Private Health Pricing'!R52</f>
        <v>0</v>
      </c>
      <c r="O10" s="25"/>
    </row>
    <row r="11" spans="2:16" x14ac:dyDescent="0.3">
      <c r="B11" s="23" t="s">
        <v>31</v>
      </c>
      <c r="C11" s="23"/>
      <c r="D11" s="23"/>
      <c r="E11" s="24">
        <f>'Private Health Pricing'!I53</f>
        <v>0</v>
      </c>
      <c r="F11" s="24">
        <f>'Private Health Pricing'!J53</f>
        <v>0</v>
      </c>
      <c r="G11" s="24">
        <f>'Private Health Pricing'!K53</f>
        <v>0</v>
      </c>
      <c r="H11" s="24">
        <f>'Private Health Pricing'!L53</f>
        <v>0</v>
      </c>
      <c r="I11" s="24">
        <f>'Private Health Pricing'!M53</f>
        <v>0</v>
      </c>
      <c r="J11" s="24">
        <f>'Private Health Pricing'!N53</f>
        <v>0</v>
      </c>
      <c r="K11" s="24">
        <f>'Private Health Pricing'!O53</f>
        <v>0</v>
      </c>
      <c r="L11" s="24">
        <f>'Private Health Pricing'!P53</f>
        <v>0</v>
      </c>
      <c r="M11" s="24">
        <f>'Private Health Pricing'!Q53</f>
        <v>0</v>
      </c>
      <c r="N11" s="24">
        <f>'Private Health Pricing'!R53</f>
        <v>0</v>
      </c>
      <c r="O11" s="25"/>
    </row>
    <row r="12" spans="2:16" x14ac:dyDescent="0.3">
      <c r="O12" s="25"/>
    </row>
    <row r="13" spans="2:16" ht="18" x14ac:dyDescent="0.35">
      <c r="B13" s="8" t="s">
        <v>32</v>
      </c>
      <c r="C13" s="8"/>
      <c r="D13" s="8"/>
      <c r="O13" s="25"/>
    </row>
    <row r="14" spans="2:16" s="22" customFormat="1" x14ac:dyDescent="0.3">
      <c r="B14" s="170" t="s">
        <v>25</v>
      </c>
      <c r="C14" s="20">
        <v>1</v>
      </c>
      <c r="D14" s="20">
        <f t="shared" ref="D14:N14" si="1">C14+1</f>
        <v>2</v>
      </c>
      <c r="E14" s="16">
        <f t="shared" si="1"/>
        <v>3</v>
      </c>
      <c r="F14" s="16">
        <f t="shared" si="1"/>
        <v>4</v>
      </c>
      <c r="G14" s="16">
        <f t="shared" si="1"/>
        <v>5</v>
      </c>
      <c r="H14" s="16">
        <f t="shared" si="1"/>
        <v>6</v>
      </c>
      <c r="I14" s="16">
        <f t="shared" si="1"/>
        <v>7</v>
      </c>
      <c r="J14" s="16">
        <f t="shared" si="1"/>
        <v>8</v>
      </c>
      <c r="K14" s="16">
        <f t="shared" si="1"/>
        <v>9</v>
      </c>
      <c r="L14" s="16">
        <f t="shared" si="1"/>
        <v>10</v>
      </c>
      <c r="M14" s="16">
        <f t="shared" si="1"/>
        <v>11</v>
      </c>
      <c r="N14" s="16">
        <f t="shared" si="1"/>
        <v>12</v>
      </c>
      <c r="O14" s="25"/>
    </row>
    <row r="15" spans="2:16" x14ac:dyDescent="0.3">
      <c r="B15" s="23" t="s">
        <v>26</v>
      </c>
      <c r="C15" s="24">
        <f>'Private Health Pricing'!G58</f>
        <v>1</v>
      </c>
      <c r="D15" s="24">
        <f>'Private Health Pricing'!H58</f>
        <v>2</v>
      </c>
      <c r="E15" s="24">
        <f>'Private Health Pricing'!I58</f>
        <v>2</v>
      </c>
      <c r="F15" s="24">
        <f>'Private Health Pricing'!J58</f>
        <v>5</v>
      </c>
      <c r="G15" s="24">
        <f>'Private Health Pricing'!K58</f>
        <v>7</v>
      </c>
      <c r="H15" s="24">
        <f>'Private Health Pricing'!L58</f>
        <v>7</v>
      </c>
      <c r="I15" s="24">
        <f>'Private Health Pricing'!M58</f>
        <v>9</v>
      </c>
      <c r="J15" s="24">
        <f>'Private Health Pricing'!N58</f>
        <v>11</v>
      </c>
      <c r="K15" s="24">
        <f>'Private Health Pricing'!O58</f>
        <v>14</v>
      </c>
      <c r="L15" s="24">
        <f>'Private Health Pricing'!P58</f>
        <v>14</v>
      </c>
      <c r="M15" s="24">
        <f>'Private Health Pricing'!Q58</f>
        <v>16</v>
      </c>
      <c r="N15" s="24">
        <f>'Private Health Pricing'!R58</f>
        <v>18</v>
      </c>
      <c r="O15" s="25"/>
    </row>
    <row r="16" spans="2:16" x14ac:dyDescent="0.3">
      <c r="B16" s="23" t="s">
        <v>27</v>
      </c>
      <c r="C16" s="23"/>
      <c r="D16" s="23"/>
      <c r="E16" s="24">
        <f>'Private Health Pricing'!I59</f>
        <v>8</v>
      </c>
      <c r="F16" s="24">
        <f>'Private Health Pricing'!J59</f>
        <v>18</v>
      </c>
      <c r="G16" s="24">
        <f>'Private Health Pricing'!K59</f>
        <v>27</v>
      </c>
      <c r="H16" s="24">
        <f>'Private Health Pricing'!L59</f>
        <v>27</v>
      </c>
      <c r="I16" s="24">
        <f>'Private Health Pricing'!M59</f>
        <v>36</v>
      </c>
      <c r="J16" s="24">
        <f>'Private Health Pricing'!N59</f>
        <v>44</v>
      </c>
      <c r="K16" s="24">
        <f>'Private Health Pricing'!O59</f>
        <v>53</v>
      </c>
      <c r="L16" s="24">
        <f>'Private Health Pricing'!P59</f>
        <v>53</v>
      </c>
      <c r="M16" s="24">
        <f>'Private Health Pricing'!Q59</f>
        <v>62</v>
      </c>
      <c r="N16" s="24">
        <f>'Private Health Pricing'!R59</f>
        <v>71</v>
      </c>
      <c r="O16" s="25"/>
    </row>
    <row r="17" spans="2:15" x14ac:dyDescent="0.3">
      <c r="B17" s="23" t="s">
        <v>28</v>
      </c>
      <c r="C17" s="23"/>
      <c r="D17" s="23"/>
      <c r="E17" s="24">
        <f>'Private Health Pricing'!I60</f>
        <v>0</v>
      </c>
      <c r="F17" s="24">
        <f>'Private Health Pricing'!J60</f>
        <v>0</v>
      </c>
      <c r="G17" s="24">
        <f>'Private Health Pricing'!K60</f>
        <v>0</v>
      </c>
      <c r="H17" s="24">
        <f>'Private Health Pricing'!L60</f>
        <v>0</v>
      </c>
      <c r="I17" s="24">
        <f>'Private Health Pricing'!M60</f>
        <v>0</v>
      </c>
      <c r="J17" s="24">
        <f>'Private Health Pricing'!N60</f>
        <v>0</v>
      </c>
      <c r="K17" s="24">
        <f>'Private Health Pricing'!O60</f>
        <v>0</v>
      </c>
      <c r="L17" s="24">
        <f>'Private Health Pricing'!P60</f>
        <v>0</v>
      </c>
      <c r="M17" s="24">
        <f>'Private Health Pricing'!Q60</f>
        <v>0</v>
      </c>
      <c r="N17" s="24">
        <f>'Private Health Pricing'!R60</f>
        <v>0</v>
      </c>
      <c r="O17" s="25"/>
    </row>
    <row r="18" spans="2:15" x14ac:dyDescent="0.3">
      <c r="B18" s="23" t="s">
        <v>29</v>
      </c>
      <c r="C18" s="23"/>
      <c r="D18" s="23"/>
      <c r="E18" s="24">
        <f>'Private Health Pricing'!I61</f>
        <v>10</v>
      </c>
      <c r="F18" s="24">
        <f>'Private Health Pricing'!J61</f>
        <v>22</v>
      </c>
      <c r="G18" s="24">
        <f>'Private Health Pricing'!K61</f>
        <v>33</v>
      </c>
      <c r="H18" s="24">
        <f>'Private Health Pricing'!L61</f>
        <v>33</v>
      </c>
      <c r="I18" s="24">
        <f>'Private Health Pricing'!M61</f>
        <v>44</v>
      </c>
      <c r="J18" s="24">
        <f>'Private Health Pricing'!N61</f>
        <v>55</v>
      </c>
      <c r="K18" s="24">
        <f>'Private Health Pricing'!O61</f>
        <v>66</v>
      </c>
      <c r="L18" s="24">
        <f>'Private Health Pricing'!P61</f>
        <v>66</v>
      </c>
      <c r="M18" s="24">
        <f>'Private Health Pricing'!Q61</f>
        <v>77</v>
      </c>
      <c r="N18" s="24">
        <f>'Private Health Pricing'!R61</f>
        <v>88</v>
      </c>
      <c r="O18" s="25"/>
    </row>
    <row r="19" spans="2:15" x14ac:dyDescent="0.3">
      <c r="B19" s="23" t="s">
        <v>30</v>
      </c>
      <c r="C19" s="23"/>
      <c r="D19" s="23"/>
      <c r="E19" s="24">
        <f>'Private Health Pricing'!I62</f>
        <v>0</v>
      </c>
      <c r="F19" s="24">
        <f>'Private Health Pricing'!J62</f>
        <v>0</v>
      </c>
      <c r="G19" s="24">
        <f>'Private Health Pricing'!K62</f>
        <v>0</v>
      </c>
      <c r="H19" s="24">
        <f>'Private Health Pricing'!L62</f>
        <v>0</v>
      </c>
      <c r="I19" s="24">
        <f>'Private Health Pricing'!M62</f>
        <v>0</v>
      </c>
      <c r="J19" s="24">
        <f>'Private Health Pricing'!N62</f>
        <v>0</v>
      </c>
      <c r="K19" s="24">
        <f>'Private Health Pricing'!O62</f>
        <v>0</v>
      </c>
      <c r="L19" s="24">
        <f>'Private Health Pricing'!P62</f>
        <v>0</v>
      </c>
      <c r="M19" s="24">
        <f>'Private Health Pricing'!Q62</f>
        <v>0</v>
      </c>
      <c r="N19" s="24">
        <f>'Private Health Pricing'!R62</f>
        <v>0</v>
      </c>
      <c r="O19" s="25"/>
    </row>
    <row r="20" spans="2:15" x14ac:dyDescent="0.3">
      <c r="B20" s="23" t="s">
        <v>31</v>
      </c>
      <c r="C20" s="23"/>
      <c r="D20" s="23"/>
      <c r="E20" s="24">
        <f>'Private Health Pricing'!I63</f>
        <v>0</v>
      </c>
      <c r="F20" s="24">
        <f>'Private Health Pricing'!J63</f>
        <v>0</v>
      </c>
      <c r="G20" s="24">
        <f>'Private Health Pricing'!K63</f>
        <v>0</v>
      </c>
      <c r="H20" s="24">
        <f>'Private Health Pricing'!L63</f>
        <v>0</v>
      </c>
      <c r="I20" s="24">
        <f>'Private Health Pricing'!M63</f>
        <v>0</v>
      </c>
      <c r="J20" s="24">
        <f>'Private Health Pricing'!N63</f>
        <v>0</v>
      </c>
      <c r="K20" s="24">
        <f>'Private Health Pricing'!O63</f>
        <v>0</v>
      </c>
      <c r="L20" s="24">
        <f>'Private Health Pricing'!P63</f>
        <v>0</v>
      </c>
      <c r="M20" s="24">
        <f>'Private Health Pricing'!Q63</f>
        <v>0</v>
      </c>
      <c r="N20" s="24">
        <f>'Private Health Pricing'!R63</f>
        <v>0</v>
      </c>
      <c r="O20" s="25"/>
    </row>
    <row r="21" spans="2:15" x14ac:dyDescent="0.3">
      <c r="B21" s="40"/>
      <c r="C21" s="40"/>
      <c r="D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25"/>
    </row>
    <row r="22" spans="2:15" x14ac:dyDescent="0.3">
      <c r="B22" s="43" t="s">
        <v>14</v>
      </c>
      <c r="C22" s="44">
        <f>SUM(C15:C20,C6:C11)</f>
        <v>1</v>
      </c>
      <c r="D22" s="44">
        <f t="shared" ref="D22:N22" si="2">SUM(D15:D20,D6:D11)</f>
        <v>2</v>
      </c>
      <c r="E22" s="44">
        <f t="shared" si="2"/>
        <v>20</v>
      </c>
      <c r="F22" s="44">
        <f t="shared" si="2"/>
        <v>45</v>
      </c>
      <c r="G22" s="44">
        <f t="shared" si="2"/>
        <v>67</v>
      </c>
      <c r="H22" s="44">
        <f t="shared" si="2"/>
        <v>81</v>
      </c>
      <c r="I22" s="44">
        <f t="shared" si="2"/>
        <v>103</v>
      </c>
      <c r="J22" s="44">
        <f t="shared" si="2"/>
        <v>124</v>
      </c>
      <c r="K22" s="44">
        <f t="shared" si="2"/>
        <v>147</v>
      </c>
      <c r="L22" s="44">
        <f t="shared" si="2"/>
        <v>159</v>
      </c>
      <c r="M22" s="44">
        <f t="shared" si="2"/>
        <v>181</v>
      </c>
      <c r="N22" s="44">
        <f t="shared" si="2"/>
        <v>203</v>
      </c>
    </row>
    <row r="23" spans="2:15" x14ac:dyDescent="0.3">
      <c r="B23" s="42" t="s">
        <v>43</v>
      </c>
      <c r="C23" s="32">
        <f>C22</f>
        <v>1</v>
      </c>
      <c r="D23" s="32">
        <f>D22-C22</f>
        <v>1</v>
      </c>
      <c r="E23" s="32">
        <f t="shared" ref="E23:N23" si="3">E22-D22</f>
        <v>18</v>
      </c>
      <c r="F23" s="32">
        <f t="shared" si="3"/>
        <v>25</v>
      </c>
      <c r="G23" s="32">
        <f t="shared" si="3"/>
        <v>22</v>
      </c>
      <c r="H23" s="32">
        <f t="shared" si="3"/>
        <v>14</v>
      </c>
      <c r="I23" s="32">
        <f t="shared" si="3"/>
        <v>22</v>
      </c>
      <c r="J23" s="32">
        <f t="shared" si="3"/>
        <v>21</v>
      </c>
      <c r="K23" s="32">
        <f t="shared" si="3"/>
        <v>23</v>
      </c>
      <c r="L23" s="32">
        <f t="shared" si="3"/>
        <v>12</v>
      </c>
      <c r="M23" s="32">
        <f t="shared" si="3"/>
        <v>22</v>
      </c>
      <c r="N23" s="32">
        <f t="shared" si="3"/>
        <v>22</v>
      </c>
    </row>
    <row r="47" spans="2:14" s="4" customFormat="1" ht="23.4" x14ac:dyDescent="0.45">
      <c r="B47" s="46" t="s">
        <v>41</v>
      </c>
      <c r="C47" s="15"/>
      <c r="D47" s="15"/>
    </row>
    <row r="48" spans="2:14" s="4" customFormat="1" x14ac:dyDescent="0.3">
      <c r="B48" s="16" t="s">
        <v>16</v>
      </c>
      <c r="C48" s="20">
        <v>1</v>
      </c>
      <c r="D48" s="20">
        <f t="shared" ref="D48:N48" si="4">C48+1</f>
        <v>2</v>
      </c>
      <c r="E48" s="16">
        <f t="shared" si="4"/>
        <v>3</v>
      </c>
      <c r="F48" s="16">
        <f t="shared" si="4"/>
        <v>4</v>
      </c>
      <c r="G48" s="16">
        <f t="shared" si="4"/>
        <v>5</v>
      </c>
      <c r="H48" s="16">
        <f t="shared" si="4"/>
        <v>6</v>
      </c>
      <c r="I48" s="16">
        <f t="shared" si="4"/>
        <v>7</v>
      </c>
      <c r="J48" s="16">
        <f t="shared" si="4"/>
        <v>8</v>
      </c>
      <c r="K48" s="16">
        <f t="shared" si="4"/>
        <v>9</v>
      </c>
      <c r="L48" s="16">
        <f t="shared" si="4"/>
        <v>10</v>
      </c>
      <c r="M48" s="16">
        <f t="shared" si="4"/>
        <v>11</v>
      </c>
      <c r="N48" s="16">
        <f t="shared" si="4"/>
        <v>12</v>
      </c>
    </row>
    <row r="49" spans="2:14" s="4" customFormat="1" x14ac:dyDescent="0.3">
      <c r="B49" s="17" t="s">
        <v>14</v>
      </c>
      <c r="C49" s="17">
        <f>'Public Health Pricing'!C12</f>
        <v>1</v>
      </c>
      <c r="D49" s="17">
        <f>'Public Health Pricing'!D12</f>
        <v>4</v>
      </c>
      <c r="E49" s="17">
        <f>'Public Health Pricing'!E12</f>
        <v>7</v>
      </c>
      <c r="F49" s="17">
        <f>'Public Health Pricing'!F12</f>
        <v>10</v>
      </c>
      <c r="G49" s="17">
        <f>'Public Health Pricing'!G12</f>
        <v>13</v>
      </c>
      <c r="H49" s="17">
        <f>'Public Health Pricing'!H12</f>
        <v>14</v>
      </c>
      <c r="I49" s="17">
        <f>'Public Health Pricing'!I12</f>
        <v>15</v>
      </c>
      <c r="J49" s="17">
        <f>'Public Health Pricing'!J12</f>
        <v>16</v>
      </c>
      <c r="K49" s="17">
        <f>'Public Health Pricing'!K12</f>
        <v>17</v>
      </c>
      <c r="L49" s="17">
        <f>'Public Health Pricing'!L12</f>
        <v>18</v>
      </c>
      <c r="M49" s="17">
        <f>'Public Health Pricing'!M12</f>
        <v>19</v>
      </c>
      <c r="N49" s="17">
        <f>'Public Health Pricing'!N12</f>
        <v>20</v>
      </c>
    </row>
    <row r="50" spans="2:14" x14ac:dyDescent="0.3">
      <c r="B50" s="23" t="s">
        <v>43</v>
      </c>
      <c r="C50" s="23">
        <f>C49</f>
        <v>1</v>
      </c>
      <c r="D50" s="23">
        <f>D49-C49</f>
        <v>3</v>
      </c>
      <c r="E50" s="23">
        <f t="shared" ref="E50:N50" si="5">E49-D49</f>
        <v>3</v>
      </c>
      <c r="F50" s="23">
        <f t="shared" si="5"/>
        <v>3</v>
      </c>
      <c r="G50" s="23">
        <f t="shared" si="5"/>
        <v>3</v>
      </c>
      <c r="H50" s="23">
        <f t="shared" si="5"/>
        <v>1</v>
      </c>
      <c r="I50" s="23">
        <f t="shared" si="5"/>
        <v>1</v>
      </c>
      <c r="J50" s="23">
        <f t="shared" si="5"/>
        <v>1</v>
      </c>
      <c r="K50" s="23">
        <f t="shared" si="5"/>
        <v>1</v>
      </c>
      <c r="L50" s="23">
        <f t="shared" si="5"/>
        <v>1</v>
      </c>
      <c r="M50" s="23">
        <f t="shared" si="5"/>
        <v>1</v>
      </c>
      <c r="N50" s="23">
        <f t="shared" si="5"/>
        <v>1</v>
      </c>
    </row>
    <row r="54" spans="2:14" ht="23.4" x14ac:dyDescent="0.45">
      <c r="B54" s="46" t="s">
        <v>46</v>
      </c>
    </row>
    <row r="55" spans="2:14" x14ac:dyDescent="0.3">
      <c r="B55" s="16" t="s">
        <v>16</v>
      </c>
      <c r="C55" s="20">
        <v>1</v>
      </c>
      <c r="D55" s="20">
        <f t="shared" ref="D55:N55" si="6">C55+1</f>
        <v>2</v>
      </c>
      <c r="E55" s="16">
        <f t="shared" si="6"/>
        <v>3</v>
      </c>
      <c r="F55" s="16">
        <f t="shared" si="6"/>
        <v>4</v>
      </c>
      <c r="G55" s="16">
        <f t="shared" si="6"/>
        <v>5</v>
      </c>
      <c r="H55" s="16">
        <f t="shared" si="6"/>
        <v>6</v>
      </c>
      <c r="I55" s="16">
        <f t="shared" si="6"/>
        <v>7</v>
      </c>
      <c r="J55" s="16">
        <f t="shared" si="6"/>
        <v>8</v>
      </c>
      <c r="K55" s="16">
        <f t="shared" si="6"/>
        <v>9</v>
      </c>
      <c r="L55" s="16">
        <f t="shared" si="6"/>
        <v>10</v>
      </c>
      <c r="M55" s="16">
        <f t="shared" si="6"/>
        <v>11</v>
      </c>
      <c r="N55" s="16">
        <f t="shared" si="6"/>
        <v>12</v>
      </c>
    </row>
    <row r="56" spans="2:14" x14ac:dyDescent="0.3">
      <c r="B56" s="23" t="s">
        <v>45</v>
      </c>
      <c r="C56" s="24">
        <f>C22</f>
        <v>1</v>
      </c>
      <c r="D56" s="24">
        <f t="shared" ref="D56:N56" si="7">D22</f>
        <v>2</v>
      </c>
      <c r="E56" s="24">
        <f t="shared" si="7"/>
        <v>20</v>
      </c>
      <c r="F56" s="24">
        <f t="shared" si="7"/>
        <v>45</v>
      </c>
      <c r="G56" s="24">
        <f t="shared" si="7"/>
        <v>67</v>
      </c>
      <c r="H56" s="24">
        <f t="shared" si="7"/>
        <v>81</v>
      </c>
      <c r="I56" s="24">
        <f t="shared" si="7"/>
        <v>103</v>
      </c>
      <c r="J56" s="24">
        <f t="shared" si="7"/>
        <v>124</v>
      </c>
      <c r="K56" s="24">
        <f t="shared" si="7"/>
        <v>147</v>
      </c>
      <c r="L56" s="24">
        <f t="shared" si="7"/>
        <v>159</v>
      </c>
      <c r="M56" s="24">
        <f t="shared" si="7"/>
        <v>181</v>
      </c>
      <c r="N56" s="24">
        <f t="shared" si="7"/>
        <v>203</v>
      </c>
    </row>
    <row r="57" spans="2:14" x14ac:dyDescent="0.3">
      <c r="B57" s="23" t="s">
        <v>44</v>
      </c>
      <c r="C57" s="24">
        <f>C49</f>
        <v>1</v>
      </c>
      <c r="D57" s="24">
        <f t="shared" ref="D57:N57" si="8">D49</f>
        <v>4</v>
      </c>
      <c r="E57" s="24">
        <f t="shared" si="8"/>
        <v>7</v>
      </c>
      <c r="F57" s="24">
        <f t="shared" si="8"/>
        <v>10</v>
      </c>
      <c r="G57" s="24">
        <f t="shared" si="8"/>
        <v>13</v>
      </c>
      <c r="H57" s="24">
        <f t="shared" si="8"/>
        <v>14</v>
      </c>
      <c r="I57" s="24">
        <f t="shared" si="8"/>
        <v>15</v>
      </c>
      <c r="J57" s="24">
        <f t="shared" si="8"/>
        <v>16</v>
      </c>
      <c r="K57" s="24">
        <f t="shared" si="8"/>
        <v>17</v>
      </c>
      <c r="L57" s="24">
        <f t="shared" si="8"/>
        <v>18</v>
      </c>
      <c r="M57" s="24">
        <f t="shared" si="8"/>
        <v>19</v>
      </c>
      <c r="N57" s="24">
        <f t="shared" si="8"/>
        <v>20</v>
      </c>
    </row>
    <row r="58" spans="2:14" x14ac:dyDescent="0.3">
      <c r="B58" s="23" t="s">
        <v>1</v>
      </c>
      <c r="C58" s="32">
        <f>SUM(C56:C57)</f>
        <v>2</v>
      </c>
      <c r="D58" s="32">
        <f t="shared" ref="D58:N58" si="9">SUM(D56:D57)</f>
        <v>6</v>
      </c>
      <c r="E58" s="32">
        <f t="shared" si="9"/>
        <v>27</v>
      </c>
      <c r="F58" s="32">
        <f t="shared" si="9"/>
        <v>55</v>
      </c>
      <c r="G58" s="32">
        <f t="shared" si="9"/>
        <v>80</v>
      </c>
      <c r="H58" s="32">
        <f t="shared" si="9"/>
        <v>95</v>
      </c>
      <c r="I58" s="32">
        <f t="shared" si="9"/>
        <v>118</v>
      </c>
      <c r="J58" s="32">
        <f t="shared" si="9"/>
        <v>140</v>
      </c>
      <c r="K58" s="32">
        <f t="shared" si="9"/>
        <v>164</v>
      </c>
      <c r="L58" s="32">
        <f t="shared" si="9"/>
        <v>177</v>
      </c>
      <c r="M58" s="32">
        <f t="shared" si="9"/>
        <v>200</v>
      </c>
      <c r="N58" s="32">
        <f t="shared" si="9"/>
        <v>223</v>
      </c>
    </row>
    <row r="86" spans="2:15" s="4" customFormat="1" x14ac:dyDescent="0.3">
      <c r="B86" s="16" t="s">
        <v>16</v>
      </c>
      <c r="C86" s="20">
        <v>-2</v>
      </c>
      <c r="D86" s="20">
        <v>-1</v>
      </c>
      <c r="E86" s="16">
        <v>1</v>
      </c>
      <c r="F86" s="16">
        <v>2</v>
      </c>
      <c r="G86" s="16">
        <v>3</v>
      </c>
      <c r="H86" s="16">
        <v>4</v>
      </c>
      <c r="I86" s="16">
        <v>5</v>
      </c>
      <c r="J86" s="16">
        <v>6</v>
      </c>
      <c r="K86" s="16">
        <v>7</v>
      </c>
      <c r="L86" s="16">
        <v>8</v>
      </c>
      <c r="M86" s="16">
        <v>9</v>
      </c>
      <c r="N86" s="16">
        <v>10</v>
      </c>
    </row>
    <row r="87" spans="2:15" x14ac:dyDescent="0.3">
      <c r="B87" s="23" t="s">
        <v>91</v>
      </c>
      <c r="C87" s="23">
        <f>SUM(C6:C11)</f>
        <v>0</v>
      </c>
      <c r="D87" s="23">
        <f t="shared" ref="D87:N87" si="10">SUM(D6:D11)</f>
        <v>0</v>
      </c>
      <c r="E87" s="23">
        <f t="shared" si="10"/>
        <v>0</v>
      </c>
      <c r="F87" s="23">
        <f t="shared" si="10"/>
        <v>0</v>
      </c>
      <c r="G87" s="23">
        <f t="shared" si="10"/>
        <v>0</v>
      </c>
      <c r="H87" s="23">
        <f t="shared" si="10"/>
        <v>14</v>
      </c>
      <c r="I87" s="23">
        <f t="shared" si="10"/>
        <v>14</v>
      </c>
      <c r="J87" s="23">
        <f t="shared" si="10"/>
        <v>14</v>
      </c>
      <c r="K87" s="23">
        <f t="shared" si="10"/>
        <v>14</v>
      </c>
      <c r="L87" s="23">
        <f t="shared" si="10"/>
        <v>26</v>
      </c>
      <c r="M87" s="23">
        <f t="shared" si="10"/>
        <v>26</v>
      </c>
      <c r="N87" s="23">
        <f t="shared" si="10"/>
        <v>26</v>
      </c>
    </row>
    <row r="88" spans="2:15" x14ac:dyDescent="0.3">
      <c r="B88" s="23" t="s">
        <v>92</v>
      </c>
      <c r="C88" s="23">
        <f>SUM(C15:C20)</f>
        <v>1</v>
      </c>
      <c r="D88" s="23">
        <f t="shared" ref="D88:N88" si="11">SUM(D15:D20)</f>
        <v>2</v>
      </c>
      <c r="E88" s="23">
        <f t="shared" si="11"/>
        <v>20</v>
      </c>
      <c r="F88" s="23">
        <f t="shared" si="11"/>
        <v>45</v>
      </c>
      <c r="G88" s="23">
        <f t="shared" si="11"/>
        <v>67</v>
      </c>
      <c r="H88" s="23">
        <f t="shared" si="11"/>
        <v>67</v>
      </c>
      <c r="I88" s="23">
        <f t="shared" si="11"/>
        <v>89</v>
      </c>
      <c r="J88" s="23">
        <f t="shared" si="11"/>
        <v>110</v>
      </c>
      <c r="K88" s="23">
        <f t="shared" si="11"/>
        <v>133</v>
      </c>
      <c r="L88" s="23">
        <f t="shared" si="11"/>
        <v>133</v>
      </c>
      <c r="M88" s="23">
        <f t="shared" si="11"/>
        <v>155</v>
      </c>
      <c r="N88" s="23">
        <f t="shared" si="11"/>
        <v>177</v>
      </c>
    </row>
    <row r="89" spans="2:15" x14ac:dyDescent="0.3">
      <c r="B89" s="23" t="s">
        <v>93</v>
      </c>
      <c r="C89" s="32">
        <f>C57</f>
        <v>1</v>
      </c>
      <c r="D89" s="32">
        <f t="shared" ref="D89:N89" si="12">D57</f>
        <v>4</v>
      </c>
      <c r="E89" s="32">
        <f t="shared" si="12"/>
        <v>7</v>
      </c>
      <c r="F89" s="32">
        <f t="shared" si="12"/>
        <v>10</v>
      </c>
      <c r="G89" s="32">
        <f t="shared" si="12"/>
        <v>13</v>
      </c>
      <c r="H89" s="32">
        <f t="shared" si="12"/>
        <v>14</v>
      </c>
      <c r="I89" s="32">
        <f t="shared" si="12"/>
        <v>15</v>
      </c>
      <c r="J89" s="32">
        <f t="shared" si="12"/>
        <v>16</v>
      </c>
      <c r="K89" s="32">
        <f t="shared" si="12"/>
        <v>17</v>
      </c>
      <c r="L89" s="32">
        <f t="shared" si="12"/>
        <v>18</v>
      </c>
      <c r="M89" s="32">
        <f t="shared" si="12"/>
        <v>19</v>
      </c>
      <c r="N89" s="32">
        <f t="shared" si="12"/>
        <v>20</v>
      </c>
      <c r="O89" s="77" t="s">
        <v>235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D45B7-A78A-3241-8781-36C96D844B1A}">
  <sheetPr>
    <tabColor theme="4"/>
  </sheetPr>
  <dimension ref="B2:P63"/>
  <sheetViews>
    <sheetView showGridLines="0" zoomScale="90" zoomScaleNormal="90" workbookViewId="0"/>
  </sheetViews>
  <sheetFormatPr defaultColWidth="11.19921875" defaultRowHeight="15.6" x14ac:dyDescent="0.3"/>
  <cols>
    <col min="1" max="1" width="4.69921875" customWidth="1"/>
    <col min="2" max="2" width="39.69921875" customWidth="1"/>
    <col min="3" max="5" width="15.69921875" customWidth="1"/>
    <col min="6" max="6" width="11.5" bestFit="1" customWidth="1"/>
    <col min="7" max="7" width="11.69921875" bestFit="1" customWidth="1"/>
    <col min="9" max="9" width="11.69921875" bestFit="1" customWidth="1"/>
  </cols>
  <sheetData>
    <row r="2" spans="2:15" ht="18" x14ac:dyDescent="0.35">
      <c r="B2" s="54" t="s">
        <v>49</v>
      </c>
    </row>
    <row r="3" spans="2:15" x14ac:dyDescent="0.3">
      <c r="B3" s="23" t="s">
        <v>50</v>
      </c>
      <c r="C3" s="23" t="s">
        <v>51</v>
      </c>
      <c r="D3" s="20">
        <v>1</v>
      </c>
      <c r="E3" s="20">
        <f>D3+1</f>
        <v>2</v>
      </c>
      <c r="F3" s="16">
        <f>E3+1</f>
        <v>3</v>
      </c>
      <c r="G3" s="16">
        <f>F3+1</f>
        <v>4</v>
      </c>
      <c r="H3" s="16">
        <f t="shared" ref="H3:O3" si="0">G3+1</f>
        <v>5</v>
      </c>
      <c r="I3" s="16">
        <f t="shared" si="0"/>
        <v>6</v>
      </c>
      <c r="J3" s="16">
        <f t="shared" si="0"/>
        <v>7</v>
      </c>
      <c r="K3" s="16">
        <f t="shared" si="0"/>
        <v>8</v>
      </c>
      <c r="L3" s="16">
        <f t="shared" si="0"/>
        <v>9</v>
      </c>
      <c r="M3" s="16">
        <f t="shared" si="0"/>
        <v>10</v>
      </c>
      <c r="N3" s="16">
        <f t="shared" si="0"/>
        <v>11</v>
      </c>
      <c r="O3" s="16">
        <f t="shared" si="0"/>
        <v>12</v>
      </c>
    </row>
    <row r="4" spans="2:15" x14ac:dyDescent="0.3">
      <c r="B4" s="23" t="s">
        <v>52</v>
      </c>
      <c r="C4" s="23"/>
      <c r="D4" s="23"/>
      <c r="E4" s="23"/>
      <c r="F4" s="58">
        <v>1</v>
      </c>
      <c r="G4" s="58">
        <f t="shared" ref="G4:O4" si="1">F4</f>
        <v>1</v>
      </c>
      <c r="H4" s="58">
        <f t="shared" si="1"/>
        <v>1</v>
      </c>
      <c r="I4" s="58">
        <f t="shared" si="1"/>
        <v>1</v>
      </c>
      <c r="J4" s="58">
        <f t="shared" si="1"/>
        <v>1</v>
      </c>
      <c r="K4" s="58">
        <f t="shared" si="1"/>
        <v>1</v>
      </c>
      <c r="L4" s="58">
        <f t="shared" si="1"/>
        <v>1</v>
      </c>
      <c r="M4" s="58">
        <f t="shared" si="1"/>
        <v>1</v>
      </c>
      <c r="N4" s="58">
        <f t="shared" si="1"/>
        <v>1</v>
      </c>
      <c r="O4" s="58">
        <f t="shared" si="1"/>
        <v>1</v>
      </c>
    </row>
    <row r="5" spans="2:15" x14ac:dyDescent="0.3">
      <c r="B5" s="23" t="s">
        <v>53</v>
      </c>
      <c r="C5" s="59">
        <v>0.03</v>
      </c>
      <c r="D5" s="59"/>
      <c r="E5" s="59"/>
      <c r="F5" s="60">
        <v>400</v>
      </c>
      <c r="G5" s="47">
        <f t="shared" ref="G5:O5" si="2">F5*(1+$C$5)</f>
        <v>412</v>
      </c>
      <c r="H5" s="47">
        <f t="shared" si="2"/>
        <v>424.36</v>
      </c>
      <c r="I5" s="47">
        <f t="shared" si="2"/>
        <v>437.0908</v>
      </c>
      <c r="J5" s="47">
        <f t="shared" si="2"/>
        <v>450.20352400000002</v>
      </c>
      <c r="K5" s="47">
        <f t="shared" si="2"/>
        <v>463.70962972000001</v>
      </c>
      <c r="L5" s="47">
        <f t="shared" si="2"/>
        <v>477.62091861160002</v>
      </c>
      <c r="M5" s="47">
        <f t="shared" si="2"/>
        <v>491.94954616994801</v>
      </c>
      <c r="N5" s="47">
        <f t="shared" si="2"/>
        <v>506.70803255504649</v>
      </c>
      <c r="O5" s="47">
        <f t="shared" si="2"/>
        <v>521.90927353169786</v>
      </c>
    </row>
    <row r="6" spans="2:15" x14ac:dyDescent="0.3">
      <c r="B6" s="23" t="s">
        <v>54</v>
      </c>
      <c r="C6" s="59">
        <v>0</v>
      </c>
      <c r="D6" s="59"/>
      <c r="E6" s="59"/>
      <c r="F6" s="60">
        <v>5000</v>
      </c>
      <c r="G6" s="47">
        <f t="shared" ref="G6:O6" si="3">F6*(1+$C$6)</f>
        <v>5000</v>
      </c>
      <c r="H6" s="47">
        <f t="shared" si="3"/>
        <v>5000</v>
      </c>
      <c r="I6" s="47">
        <f t="shared" si="3"/>
        <v>5000</v>
      </c>
      <c r="J6" s="47">
        <f t="shared" si="3"/>
        <v>5000</v>
      </c>
      <c r="K6" s="47">
        <f t="shared" si="3"/>
        <v>5000</v>
      </c>
      <c r="L6" s="47">
        <f t="shared" si="3"/>
        <v>5000</v>
      </c>
      <c r="M6" s="47">
        <f t="shared" si="3"/>
        <v>5000</v>
      </c>
      <c r="N6" s="47">
        <f t="shared" si="3"/>
        <v>5000</v>
      </c>
      <c r="O6" s="47">
        <f t="shared" si="3"/>
        <v>5000</v>
      </c>
    </row>
    <row r="8" spans="2:15" x14ac:dyDescent="0.3">
      <c r="B8" s="23"/>
      <c r="C8" s="23" t="s">
        <v>51</v>
      </c>
      <c r="D8" s="20">
        <v>1</v>
      </c>
      <c r="E8" s="20">
        <f>D8+1</f>
        <v>2</v>
      </c>
      <c r="F8" s="16">
        <f>E8+1</f>
        <v>3</v>
      </c>
      <c r="G8" s="16">
        <f>F8+1</f>
        <v>4</v>
      </c>
      <c r="H8" s="16">
        <f t="shared" ref="H8:O8" si="4">G8+1</f>
        <v>5</v>
      </c>
      <c r="I8" s="16">
        <f t="shared" si="4"/>
        <v>6</v>
      </c>
      <c r="J8" s="16">
        <f t="shared" si="4"/>
        <v>7</v>
      </c>
      <c r="K8" s="16">
        <f t="shared" si="4"/>
        <v>8</v>
      </c>
      <c r="L8" s="16">
        <f t="shared" si="4"/>
        <v>9</v>
      </c>
      <c r="M8" s="16">
        <f t="shared" si="4"/>
        <v>10</v>
      </c>
      <c r="N8" s="16">
        <f t="shared" si="4"/>
        <v>11</v>
      </c>
      <c r="O8" s="16">
        <f t="shared" si="4"/>
        <v>12</v>
      </c>
    </row>
    <row r="9" spans="2:15" x14ac:dyDescent="0.3">
      <c r="B9" s="23" t="s">
        <v>55</v>
      </c>
      <c r="C9" s="59">
        <v>0.05</v>
      </c>
      <c r="D9" s="59"/>
      <c r="E9" s="59"/>
      <c r="F9" s="58">
        <v>300</v>
      </c>
      <c r="G9" s="61">
        <f t="shared" ref="G9:O9" si="5">ROUNDUP(F9*(1+$C$9),0)</f>
        <v>315</v>
      </c>
      <c r="H9" s="61">
        <f t="shared" si="5"/>
        <v>331</v>
      </c>
      <c r="I9" s="61">
        <f t="shared" si="5"/>
        <v>348</v>
      </c>
      <c r="J9" s="61">
        <f t="shared" si="5"/>
        <v>366</v>
      </c>
      <c r="K9" s="61">
        <f t="shared" si="5"/>
        <v>385</v>
      </c>
      <c r="L9" s="61">
        <f t="shared" si="5"/>
        <v>405</v>
      </c>
      <c r="M9" s="61">
        <f t="shared" si="5"/>
        <v>426</v>
      </c>
      <c r="N9" s="61">
        <f t="shared" si="5"/>
        <v>448</v>
      </c>
      <c r="O9" s="61">
        <f t="shared" si="5"/>
        <v>471</v>
      </c>
    </row>
    <row r="10" spans="2:15" x14ac:dyDescent="0.3">
      <c r="B10" s="23" t="s">
        <v>56</v>
      </c>
      <c r="C10" s="58">
        <v>0</v>
      </c>
      <c r="D10" s="58"/>
      <c r="E10" s="58"/>
      <c r="F10" s="58">
        <v>2</v>
      </c>
      <c r="G10" s="23">
        <f t="shared" ref="G10:O10" si="6">F10+$C$10</f>
        <v>2</v>
      </c>
      <c r="H10" s="23">
        <f t="shared" si="6"/>
        <v>2</v>
      </c>
      <c r="I10" s="23">
        <f t="shared" si="6"/>
        <v>2</v>
      </c>
      <c r="J10" s="23">
        <f t="shared" si="6"/>
        <v>2</v>
      </c>
      <c r="K10" s="23">
        <f t="shared" si="6"/>
        <v>2</v>
      </c>
      <c r="L10" s="23">
        <f t="shared" si="6"/>
        <v>2</v>
      </c>
      <c r="M10" s="23">
        <f t="shared" si="6"/>
        <v>2</v>
      </c>
      <c r="N10" s="23">
        <f t="shared" si="6"/>
        <v>2</v>
      </c>
      <c r="O10" s="23">
        <f t="shared" si="6"/>
        <v>2</v>
      </c>
    </row>
    <row r="12" spans="2:15" s="36" customFormat="1" x14ac:dyDescent="0.3">
      <c r="B12" s="23" t="s">
        <v>57</v>
      </c>
      <c r="C12" s="23"/>
      <c r="D12" s="23"/>
      <c r="E12" s="23"/>
      <c r="F12" s="62">
        <f t="shared" ref="F12:O12" si="7">F9*F5</f>
        <v>120000</v>
      </c>
      <c r="G12" s="62">
        <f t="shared" si="7"/>
        <v>129780</v>
      </c>
      <c r="H12" s="62">
        <f t="shared" si="7"/>
        <v>140463.16</v>
      </c>
      <c r="I12" s="62">
        <f t="shared" si="7"/>
        <v>152107.59839999999</v>
      </c>
      <c r="J12" s="62">
        <f t="shared" si="7"/>
        <v>164774.489784</v>
      </c>
      <c r="K12" s="62">
        <f t="shared" si="7"/>
        <v>178528.20744220002</v>
      </c>
      <c r="L12" s="62">
        <f t="shared" si="7"/>
        <v>193436.472037698</v>
      </c>
      <c r="M12" s="62">
        <f t="shared" si="7"/>
        <v>209570.50666839787</v>
      </c>
      <c r="N12" s="62">
        <f t="shared" si="7"/>
        <v>227005.19858466083</v>
      </c>
      <c r="O12" s="62">
        <f t="shared" si="7"/>
        <v>245819.26783342968</v>
      </c>
    </row>
    <row r="13" spans="2:15" s="36" customFormat="1" x14ac:dyDescent="0.3">
      <c r="B13" s="23" t="s">
        <v>58</v>
      </c>
      <c r="C13" s="23"/>
      <c r="D13" s="23"/>
      <c r="E13" s="23"/>
      <c r="F13" s="62">
        <f t="shared" ref="F13:O13" si="8">F10*F6</f>
        <v>10000</v>
      </c>
      <c r="G13" s="62">
        <f t="shared" si="8"/>
        <v>10000</v>
      </c>
      <c r="H13" s="62">
        <f t="shared" si="8"/>
        <v>10000</v>
      </c>
      <c r="I13" s="62">
        <f t="shared" si="8"/>
        <v>10000</v>
      </c>
      <c r="J13" s="62">
        <f t="shared" si="8"/>
        <v>10000</v>
      </c>
      <c r="K13" s="62">
        <f t="shared" si="8"/>
        <v>10000</v>
      </c>
      <c r="L13" s="62">
        <f t="shared" si="8"/>
        <v>10000</v>
      </c>
      <c r="M13" s="62">
        <f t="shared" si="8"/>
        <v>10000</v>
      </c>
      <c r="N13" s="62">
        <f t="shared" si="8"/>
        <v>10000</v>
      </c>
      <c r="O13" s="62">
        <f t="shared" si="8"/>
        <v>10000</v>
      </c>
    </row>
    <row r="14" spans="2:15" s="36" customFormat="1" x14ac:dyDescent="0.3">
      <c r="B14" s="48" t="s">
        <v>21</v>
      </c>
      <c r="C14" s="48"/>
      <c r="D14" s="48"/>
      <c r="E14" s="48"/>
      <c r="F14" s="63">
        <f t="shared" ref="F14:O14" si="9">F12+F13</f>
        <v>130000</v>
      </c>
      <c r="G14" s="63">
        <f t="shared" si="9"/>
        <v>139780</v>
      </c>
      <c r="H14" s="63">
        <f t="shared" si="9"/>
        <v>150463.16</v>
      </c>
      <c r="I14" s="63">
        <f t="shared" si="9"/>
        <v>162107.59839999999</v>
      </c>
      <c r="J14" s="63">
        <f t="shared" si="9"/>
        <v>174774.489784</v>
      </c>
      <c r="K14" s="63">
        <f t="shared" si="9"/>
        <v>188528.20744220002</v>
      </c>
      <c r="L14" s="63">
        <f t="shared" si="9"/>
        <v>203436.472037698</v>
      </c>
      <c r="M14" s="63">
        <f t="shared" si="9"/>
        <v>219570.50666839787</v>
      </c>
      <c r="N14" s="63">
        <f t="shared" si="9"/>
        <v>237005.19858466083</v>
      </c>
      <c r="O14" s="63">
        <f t="shared" si="9"/>
        <v>255819.26783342968</v>
      </c>
    </row>
    <row r="16" spans="2:15" x14ac:dyDescent="0.3">
      <c r="B16" s="23" t="s">
        <v>59</v>
      </c>
      <c r="C16" s="23" t="s">
        <v>51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2:15" x14ac:dyDescent="0.3">
      <c r="B17" s="23" t="s">
        <v>60</v>
      </c>
      <c r="C17" s="59">
        <v>0.03</v>
      </c>
      <c r="D17" s="59"/>
      <c r="E17" s="59"/>
      <c r="F17" s="64">
        <v>300</v>
      </c>
      <c r="G17" s="65">
        <f t="shared" ref="G17:O17" si="10">F17*(1+$C$17)</f>
        <v>309</v>
      </c>
      <c r="H17" s="65">
        <f t="shared" si="10"/>
        <v>318.27</v>
      </c>
      <c r="I17" s="65">
        <f t="shared" si="10"/>
        <v>327.81810000000002</v>
      </c>
      <c r="J17" s="65">
        <f t="shared" si="10"/>
        <v>337.65264300000001</v>
      </c>
      <c r="K17" s="65">
        <f t="shared" si="10"/>
        <v>347.78222228999999</v>
      </c>
      <c r="L17" s="65">
        <f t="shared" si="10"/>
        <v>358.21568895870001</v>
      </c>
      <c r="M17" s="65">
        <f t="shared" si="10"/>
        <v>368.96215962746101</v>
      </c>
      <c r="N17" s="65">
        <f t="shared" si="10"/>
        <v>380.03102441628482</v>
      </c>
      <c r="O17" s="65">
        <f t="shared" si="10"/>
        <v>391.4319551487734</v>
      </c>
    </row>
    <row r="18" spans="2:15" s="36" customFormat="1" x14ac:dyDescent="0.3">
      <c r="B18" s="48" t="s">
        <v>61</v>
      </c>
      <c r="C18" s="66"/>
      <c r="D18" s="66"/>
      <c r="E18" s="66"/>
      <c r="F18" s="66">
        <f t="shared" ref="F18:O18" si="11">F17*F9</f>
        <v>90000</v>
      </c>
      <c r="G18" s="66">
        <f t="shared" si="11"/>
        <v>97335</v>
      </c>
      <c r="H18" s="66">
        <f t="shared" si="11"/>
        <v>105347.37</v>
      </c>
      <c r="I18" s="66">
        <f t="shared" si="11"/>
        <v>114080.6988</v>
      </c>
      <c r="J18" s="66">
        <f t="shared" si="11"/>
        <v>123580.86733800001</v>
      </c>
      <c r="K18" s="66">
        <f t="shared" si="11"/>
        <v>133896.15558165</v>
      </c>
      <c r="L18" s="66">
        <f t="shared" si="11"/>
        <v>145077.35402827352</v>
      </c>
      <c r="M18" s="66">
        <f t="shared" si="11"/>
        <v>157177.88000129838</v>
      </c>
      <c r="N18" s="66">
        <f t="shared" si="11"/>
        <v>170253.89893849561</v>
      </c>
      <c r="O18" s="66">
        <f t="shared" si="11"/>
        <v>184364.45087507227</v>
      </c>
    </row>
    <row r="20" spans="2:15" x14ac:dyDescent="0.3">
      <c r="B20" s="23" t="s">
        <v>62</v>
      </c>
      <c r="C20" s="67">
        <v>0.5</v>
      </c>
      <c r="D20" s="67"/>
      <c r="E20" s="67"/>
      <c r="F20" s="68">
        <f t="shared" ref="F20:O25" si="12">$C20*F$26</f>
        <v>45000</v>
      </c>
      <c r="G20" s="68">
        <f t="shared" si="12"/>
        <v>48667.5</v>
      </c>
      <c r="H20" s="68">
        <f t="shared" si="12"/>
        <v>52673.684999999998</v>
      </c>
      <c r="I20" s="68">
        <f t="shared" si="12"/>
        <v>57040.349399999999</v>
      </c>
      <c r="J20" s="68">
        <f t="shared" si="12"/>
        <v>61790.433669000005</v>
      </c>
      <c r="K20" s="68">
        <f t="shared" si="12"/>
        <v>66948.077790825002</v>
      </c>
      <c r="L20" s="68">
        <f t="shared" si="12"/>
        <v>72538.67701413676</v>
      </c>
      <c r="M20" s="68">
        <f t="shared" si="12"/>
        <v>78588.940000649192</v>
      </c>
      <c r="N20" s="68">
        <f t="shared" si="12"/>
        <v>85126.949469247804</v>
      </c>
      <c r="O20" s="68">
        <f t="shared" si="12"/>
        <v>92182.225437536137</v>
      </c>
    </row>
    <row r="21" spans="2:15" x14ac:dyDescent="0.3">
      <c r="B21" s="23" t="s">
        <v>63</v>
      </c>
      <c r="C21" s="67">
        <v>0.2</v>
      </c>
      <c r="D21" s="67"/>
      <c r="E21" s="67"/>
      <c r="F21" s="68">
        <f t="shared" si="12"/>
        <v>18000</v>
      </c>
      <c r="G21" s="68">
        <f t="shared" si="12"/>
        <v>19467</v>
      </c>
      <c r="H21" s="68">
        <f t="shared" si="12"/>
        <v>21069.474000000002</v>
      </c>
      <c r="I21" s="68">
        <f t="shared" si="12"/>
        <v>22816.139760000002</v>
      </c>
      <c r="J21" s="68">
        <f t="shared" si="12"/>
        <v>24716.173467600005</v>
      </c>
      <c r="K21" s="68">
        <f t="shared" si="12"/>
        <v>26779.231116330004</v>
      </c>
      <c r="L21" s="68">
        <f t="shared" si="12"/>
        <v>29015.470805654706</v>
      </c>
      <c r="M21" s="68">
        <f t="shared" si="12"/>
        <v>31435.57600025968</v>
      </c>
      <c r="N21" s="68">
        <f t="shared" si="12"/>
        <v>34050.779787699124</v>
      </c>
      <c r="O21" s="68">
        <f t="shared" si="12"/>
        <v>36872.890175014458</v>
      </c>
    </row>
    <row r="22" spans="2:15" x14ac:dyDescent="0.3">
      <c r="B22" s="23" t="s">
        <v>64</v>
      </c>
      <c r="C22" s="67">
        <v>0.15</v>
      </c>
      <c r="D22" s="67"/>
      <c r="E22" s="67"/>
      <c r="F22" s="68">
        <f t="shared" si="12"/>
        <v>13500</v>
      </c>
      <c r="G22" s="68">
        <f t="shared" si="12"/>
        <v>14600.25</v>
      </c>
      <c r="H22" s="68">
        <f t="shared" si="12"/>
        <v>15802.105499999998</v>
      </c>
      <c r="I22" s="68">
        <f t="shared" si="12"/>
        <v>17112.10482</v>
      </c>
      <c r="J22" s="68">
        <f t="shared" si="12"/>
        <v>18537.1301007</v>
      </c>
      <c r="K22" s="68">
        <f t="shared" si="12"/>
        <v>20084.423337247499</v>
      </c>
      <c r="L22" s="68">
        <f t="shared" si="12"/>
        <v>21761.603104241029</v>
      </c>
      <c r="M22" s="68">
        <f t="shared" si="12"/>
        <v>23576.682000194756</v>
      </c>
      <c r="N22" s="68">
        <f t="shared" si="12"/>
        <v>25538.08484077434</v>
      </c>
      <c r="O22" s="68">
        <f t="shared" si="12"/>
        <v>27654.66763126084</v>
      </c>
    </row>
    <row r="23" spans="2:15" x14ac:dyDescent="0.3">
      <c r="B23" s="23" t="s">
        <v>65</v>
      </c>
      <c r="C23" s="67">
        <v>0.05</v>
      </c>
      <c r="D23" s="67"/>
      <c r="E23" s="67"/>
      <c r="F23" s="68">
        <f t="shared" si="12"/>
        <v>4500</v>
      </c>
      <c r="G23" s="68">
        <f t="shared" si="12"/>
        <v>4866.75</v>
      </c>
      <c r="H23" s="68">
        <f t="shared" si="12"/>
        <v>5267.3685000000005</v>
      </c>
      <c r="I23" s="68">
        <f t="shared" si="12"/>
        <v>5704.0349400000005</v>
      </c>
      <c r="J23" s="68">
        <f t="shared" si="12"/>
        <v>6179.0433669000013</v>
      </c>
      <c r="K23" s="68">
        <f t="shared" si="12"/>
        <v>6694.8077790825009</v>
      </c>
      <c r="L23" s="68">
        <f t="shared" si="12"/>
        <v>7253.8677014136765</v>
      </c>
      <c r="M23" s="68">
        <f t="shared" si="12"/>
        <v>7858.89400006492</v>
      </c>
      <c r="N23" s="68">
        <f t="shared" si="12"/>
        <v>8512.6949469247811</v>
      </c>
      <c r="O23" s="68">
        <f t="shared" si="12"/>
        <v>9218.2225437536144</v>
      </c>
    </row>
    <row r="24" spans="2:15" x14ac:dyDescent="0.3">
      <c r="B24" s="23" t="s">
        <v>66</v>
      </c>
      <c r="C24" s="67">
        <v>0.05</v>
      </c>
      <c r="D24" s="67"/>
      <c r="E24" s="67"/>
      <c r="F24" s="68">
        <f t="shared" si="12"/>
        <v>4500</v>
      </c>
      <c r="G24" s="68">
        <f t="shared" si="12"/>
        <v>4866.75</v>
      </c>
      <c r="H24" s="68">
        <f t="shared" si="12"/>
        <v>5267.3685000000005</v>
      </c>
      <c r="I24" s="68">
        <f t="shared" si="12"/>
        <v>5704.0349400000005</v>
      </c>
      <c r="J24" s="68">
        <f t="shared" si="12"/>
        <v>6179.0433669000013</v>
      </c>
      <c r="K24" s="68">
        <f t="shared" si="12"/>
        <v>6694.8077790825009</v>
      </c>
      <c r="L24" s="68">
        <f t="shared" si="12"/>
        <v>7253.8677014136765</v>
      </c>
      <c r="M24" s="68">
        <f t="shared" si="12"/>
        <v>7858.89400006492</v>
      </c>
      <c r="N24" s="68">
        <f t="shared" si="12"/>
        <v>8512.6949469247811</v>
      </c>
      <c r="O24" s="68">
        <f t="shared" si="12"/>
        <v>9218.2225437536144</v>
      </c>
    </row>
    <row r="25" spans="2:15" ht="16.2" thickBot="1" x14ac:dyDescent="0.35">
      <c r="B25" s="55" t="s">
        <v>236</v>
      </c>
      <c r="C25" s="69">
        <v>0.05</v>
      </c>
      <c r="D25" s="69"/>
      <c r="E25" s="69"/>
      <c r="F25" s="70">
        <f t="shared" si="12"/>
        <v>4500</v>
      </c>
      <c r="G25" s="70">
        <f t="shared" si="12"/>
        <v>4866.75</v>
      </c>
      <c r="H25" s="70">
        <f t="shared" si="12"/>
        <v>5267.3685000000005</v>
      </c>
      <c r="I25" s="70">
        <f t="shared" si="12"/>
        <v>5704.0349400000005</v>
      </c>
      <c r="J25" s="70">
        <f t="shared" si="12"/>
        <v>6179.0433669000013</v>
      </c>
      <c r="K25" s="70">
        <f t="shared" si="12"/>
        <v>6694.8077790825009</v>
      </c>
      <c r="L25" s="70">
        <f t="shared" si="12"/>
        <v>7253.8677014136765</v>
      </c>
      <c r="M25" s="70">
        <f t="shared" si="12"/>
        <v>7858.89400006492</v>
      </c>
      <c r="N25" s="70">
        <f t="shared" si="12"/>
        <v>8512.6949469247811</v>
      </c>
      <c r="O25" s="70">
        <f t="shared" si="12"/>
        <v>9218.2225437536144</v>
      </c>
    </row>
    <row r="26" spans="2:15" ht="16.2" thickTop="1" x14ac:dyDescent="0.3">
      <c r="B26" s="56" t="s">
        <v>67</v>
      </c>
      <c r="C26" s="57">
        <f>SUM(C20:C25)</f>
        <v>1</v>
      </c>
      <c r="D26" s="57"/>
      <c r="E26" s="57"/>
      <c r="F26" s="71">
        <f t="shared" ref="F26:O26" si="13">F18</f>
        <v>90000</v>
      </c>
      <c r="G26" s="71">
        <f t="shared" si="13"/>
        <v>97335</v>
      </c>
      <c r="H26" s="71">
        <f t="shared" si="13"/>
        <v>105347.37</v>
      </c>
      <c r="I26" s="71">
        <f t="shared" si="13"/>
        <v>114080.6988</v>
      </c>
      <c r="J26" s="71">
        <f t="shared" si="13"/>
        <v>123580.86733800001</v>
      </c>
      <c r="K26" s="71">
        <f t="shared" si="13"/>
        <v>133896.15558165</v>
      </c>
      <c r="L26" s="71">
        <f t="shared" si="13"/>
        <v>145077.35402827352</v>
      </c>
      <c r="M26" s="71">
        <f t="shared" si="13"/>
        <v>157177.88000129838</v>
      </c>
      <c r="N26" s="71">
        <f t="shared" si="13"/>
        <v>170253.89893849561</v>
      </c>
      <c r="O26" s="71">
        <f t="shared" si="13"/>
        <v>184364.45087507227</v>
      </c>
    </row>
    <row r="28" spans="2:15" x14ac:dyDescent="0.3">
      <c r="B28" s="48" t="s">
        <v>68</v>
      </c>
      <c r="C28" s="48"/>
      <c r="D28" s="48"/>
      <c r="E28" s="48"/>
      <c r="F28" s="63">
        <f t="shared" ref="F28:O28" si="14">F14-F18</f>
        <v>40000</v>
      </c>
      <c r="G28" s="63">
        <f t="shared" si="14"/>
        <v>42445</v>
      </c>
      <c r="H28" s="63">
        <f t="shared" si="14"/>
        <v>45115.790000000008</v>
      </c>
      <c r="I28" s="63">
        <f t="shared" si="14"/>
        <v>48026.89959999999</v>
      </c>
      <c r="J28" s="63">
        <f t="shared" si="14"/>
        <v>51193.622445999994</v>
      </c>
      <c r="K28" s="63">
        <f t="shared" si="14"/>
        <v>54632.051860550011</v>
      </c>
      <c r="L28" s="63">
        <f t="shared" si="14"/>
        <v>58359.118009424477</v>
      </c>
      <c r="M28" s="63">
        <f t="shared" si="14"/>
        <v>62392.626667099481</v>
      </c>
      <c r="N28" s="63">
        <f t="shared" si="14"/>
        <v>66751.299646165222</v>
      </c>
      <c r="O28" s="63">
        <f t="shared" si="14"/>
        <v>71454.816958357405</v>
      </c>
    </row>
    <row r="31" spans="2:15" ht="18" x14ac:dyDescent="0.35">
      <c r="B31" s="54" t="s">
        <v>69</v>
      </c>
    </row>
    <row r="32" spans="2:15" x14ac:dyDescent="0.3">
      <c r="B32" s="23" t="s">
        <v>10</v>
      </c>
      <c r="C32" s="23" t="s">
        <v>70</v>
      </c>
      <c r="D32" s="20">
        <v>1</v>
      </c>
      <c r="E32" s="20">
        <f>D32+1</f>
        <v>2</v>
      </c>
      <c r="F32" s="16">
        <f>E32+1</f>
        <v>3</v>
      </c>
      <c r="G32" s="16">
        <f>F32+1</f>
        <v>4</v>
      </c>
      <c r="H32" s="16">
        <f t="shared" ref="H32:O32" si="15">G32+1</f>
        <v>5</v>
      </c>
      <c r="I32" s="16">
        <f t="shared" si="15"/>
        <v>6</v>
      </c>
      <c r="J32" s="16">
        <f t="shared" si="15"/>
        <v>7</v>
      </c>
      <c r="K32" s="16">
        <f t="shared" si="15"/>
        <v>8</v>
      </c>
      <c r="L32" s="16">
        <f t="shared" si="15"/>
        <v>9</v>
      </c>
      <c r="M32" s="16">
        <f t="shared" si="15"/>
        <v>10</v>
      </c>
      <c r="N32" s="16">
        <f t="shared" si="15"/>
        <v>11</v>
      </c>
      <c r="O32" s="16">
        <f t="shared" si="15"/>
        <v>12</v>
      </c>
    </row>
    <row r="33" spans="2:15" x14ac:dyDescent="0.3">
      <c r="B33" s="23" t="s">
        <v>52</v>
      </c>
      <c r="C33" s="58">
        <v>1</v>
      </c>
      <c r="D33" s="58"/>
      <c r="E33" s="58"/>
      <c r="F33" s="58">
        <v>1</v>
      </c>
      <c r="G33" s="58">
        <f t="shared" ref="G33:O33" si="16">F33+$C$33</f>
        <v>2</v>
      </c>
      <c r="H33" s="58">
        <f t="shared" si="16"/>
        <v>3</v>
      </c>
      <c r="I33" s="58">
        <f t="shared" si="16"/>
        <v>4</v>
      </c>
      <c r="J33" s="58">
        <f t="shared" si="16"/>
        <v>5</v>
      </c>
      <c r="K33" s="58">
        <f t="shared" si="16"/>
        <v>6</v>
      </c>
      <c r="L33" s="58">
        <f t="shared" si="16"/>
        <v>7</v>
      </c>
      <c r="M33" s="58">
        <f t="shared" si="16"/>
        <v>8</v>
      </c>
      <c r="N33" s="58">
        <f t="shared" si="16"/>
        <v>9</v>
      </c>
      <c r="O33" s="58">
        <f t="shared" si="16"/>
        <v>10</v>
      </c>
    </row>
    <row r="34" spans="2:15" x14ac:dyDescent="0.3">
      <c r="B34" s="23" t="s">
        <v>71</v>
      </c>
      <c r="C34" s="59">
        <v>0.03</v>
      </c>
      <c r="D34" s="59"/>
      <c r="E34" s="59"/>
      <c r="F34" s="60">
        <v>5000</v>
      </c>
      <c r="G34" s="47">
        <f t="shared" ref="G34:O34" si="17">F34*(1+$C$34)</f>
        <v>5150</v>
      </c>
      <c r="H34" s="47">
        <f t="shared" si="17"/>
        <v>5304.5</v>
      </c>
      <c r="I34" s="47">
        <f t="shared" si="17"/>
        <v>5463.6350000000002</v>
      </c>
      <c r="J34" s="47">
        <f t="shared" si="17"/>
        <v>5627.5440500000004</v>
      </c>
      <c r="K34" s="47">
        <f t="shared" si="17"/>
        <v>5796.3703715000001</v>
      </c>
      <c r="L34" s="47">
        <f t="shared" si="17"/>
        <v>5970.2614826449999</v>
      </c>
      <c r="M34" s="47">
        <f t="shared" si="17"/>
        <v>6149.3693271243501</v>
      </c>
      <c r="N34" s="47">
        <f t="shared" si="17"/>
        <v>6333.8504069380806</v>
      </c>
      <c r="O34" s="47">
        <f t="shared" si="17"/>
        <v>6523.865919146223</v>
      </c>
    </row>
    <row r="35" spans="2:15" s="36" customFormat="1" x14ac:dyDescent="0.3">
      <c r="B35" s="48" t="s">
        <v>21</v>
      </c>
      <c r="C35" s="72"/>
      <c r="D35" s="72"/>
      <c r="E35" s="72"/>
      <c r="F35" s="49">
        <f t="shared" ref="F35:O35" si="18">F33*F34</f>
        <v>5000</v>
      </c>
      <c r="G35" s="49">
        <f t="shared" si="18"/>
        <v>10300</v>
      </c>
      <c r="H35" s="49">
        <f t="shared" si="18"/>
        <v>15913.5</v>
      </c>
      <c r="I35" s="49">
        <f t="shared" si="18"/>
        <v>21854.54</v>
      </c>
      <c r="J35" s="49">
        <f t="shared" si="18"/>
        <v>28137.720250000002</v>
      </c>
      <c r="K35" s="49">
        <f t="shared" si="18"/>
        <v>34778.222228999999</v>
      </c>
      <c r="L35" s="49">
        <f t="shared" si="18"/>
        <v>41791.830378514998</v>
      </c>
      <c r="M35" s="49">
        <f t="shared" si="18"/>
        <v>49194.954616994801</v>
      </c>
      <c r="N35" s="49">
        <f t="shared" si="18"/>
        <v>57004.653662442724</v>
      </c>
      <c r="O35" s="49">
        <f t="shared" si="18"/>
        <v>65238.659191462226</v>
      </c>
    </row>
    <row r="36" spans="2:15" x14ac:dyDescent="0.3">
      <c r="C36" s="35"/>
      <c r="D36" s="35"/>
      <c r="E36" s="35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2:15" x14ac:dyDescent="0.3">
      <c r="B37" s="73" t="s">
        <v>72</v>
      </c>
      <c r="C37" s="74">
        <v>0.05</v>
      </c>
      <c r="D37" s="74"/>
      <c r="E37" s="74"/>
      <c r="F37" s="75">
        <f t="shared" ref="F37:O37" si="19">$C$37*F34</f>
        <v>250</v>
      </c>
      <c r="G37" s="75">
        <f t="shared" si="19"/>
        <v>257.5</v>
      </c>
      <c r="H37" s="75">
        <f t="shared" si="19"/>
        <v>265.22500000000002</v>
      </c>
      <c r="I37" s="75">
        <f t="shared" si="19"/>
        <v>273.18175000000002</v>
      </c>
      <c r="J37" s="75">
        <f t="shared" si="19"/>
        <v>281.37720250000001</v>
      </c>
      <c r="K37" s="75">
        <f t="shared" si="19"/>
        <v>289.81851857500004</v>
      </c>
      <c r="L37" s="75">
        <f t="shared" si="19"/>
        <v>298.51307413224998</v>
      </c>
      <c r="M37" s="75">
        <f t="shared" si="19"/>
        <v>307.4684663562175</v>
      </c>
      <c r="N37" s="75">
        <f t="shared" si="19"/>
        <v>316.69252034690408</v>
      </c>
      <c r="O37" s="75">
        <f t="shared" si="19"/>
        <v>326.19329595731119</v>
      </c>
    </row>
    <row r="38" spans="2:15" s="36" customFormat="1" x14ac:dyDescent="0.3">
      <c r="B38" s="48" t="s">
        <v>67</v>
      </c>
      <c r="C38" s="72"/>
      <c r="D38" s="72"/>
      <c r="E38" s="72"/>
      <c r="F38" s="63">
        <f t="shared" ref="F38:O38" si="20">F37*F33</f>
        <v>250</v>
      </c>
      <c r="G38" s="63">
        <f t="shared" si="20"/>
        <v>515</v>
      </c>
      <c r="H38" s="63">
        <f t="shared" si="20"/>
        <v>795.67500000000007</v>
      </c>
      <c r="I38" s="63">
        <f t="shared" si="20"/>
        <v>1092.7270000000001</v>
      </c>
      <c r="J38" s="63">
        <f t="shared" si="20"/>
        <v>1406.8860125000001</v>
      </c>
      <c r="K38" s="63">
        <f t="shared" si="20"/>
        <v>1738.9111114500001</v>
      </c>
      <c r="L38" s="63">
        <f t="shared" si="20"/>
        <v>2089.5915189257498</v>
      </c>
      <c r="M38" s="63">
        <f t="shared" si="20"/>
        <v>2459.74773084974</v>
      </c>
      <c r="N38" s="63">
        <f t="shared" si="20"/>
        <v>2850.2326831221367</v>
      </c>
      <c r="O38" s="63">
        <f t="shared" si="20"/>
        <v>3261.9329595731119</v>
      </c>
    </row>
    <row r="39" spans="2:15" x14ac:dyDescent="0.3">
      <c r="B39" s="23" t="s">
        <v>73</v>
      </c>
      <c r="C39" s="23"/>
      <c r="D39" s="23"/>
      <c r="E39" s="23"/>
      <c r="F39" s="76">
        <f t="shared" ref="F39:O39" si="21">(F35-F38)/F35</f>
        <v>0.95</v>
      </c>
      <c r="G39" s="76">
        <f t="shared" si="21"/>
        <v>0.95</v>
      </c>
      <c r="H39" s="76">
        <f t="shared" si="21"/>
        <v>0.95000000000000007</v>
      </c>
      <c r="I39" s="76">
        <f t="shared" si="21"/>
        <v>0.95000000000000007</v>
      </c>
      <c r="J39" s="76">
        <f t="shared" si="21"/>
        <v>0.95000000000000007</v>
      </c>
      <c r="K39" s="76">
        <f t="shared" si="21"/>
        <v>0.95000000000000007</v>
      </c>
      <c r="L39" s="76">
        <f t="shared" si="21"/>
        <v>0.95</v>
      </c>
      <c r="M39" s="76">
        <f t="shared" si="21"/>
        <v>0.95</v>
      </c>
      <c r="N39" s="76">
        <f t="shared" si="21"/>
        <v>0.95</v>
      </c>
      <c r="O39" s="76">
        <f t="shared" si="21"/>
        <v>0.95000000000000007</v>
      </c>
    </row>
    <row r="42" spans="2:15" ht="18" x14ac:dyDescent="0.35">
      <c r="B42" s="54" t="s">
        <v>74</v>
      </c>
    </row>
    <row r="43" spans="2:15" x14ac:dyDescent="0.3">
      <c r="B43" s="23" t="s">
        <v>75</v>
      </c>
      <c r="C43" s="23" t="s">
        <v>51</v>
      </c>
      <c r="D43" s="20">
        <v>1</v>
      </c>
      <c r="E43" s="20">
        <f>D43+1</f>
        <v>2</v>
      </c>
      <c r="F43" s="16">
        <f>E43+1</f>
        <v>3</v>
      </c>
      <c r="G43" s="16">
        <f>F43+1</f>
        <v>4</v>
      </c>
      <c r="H43" s="16">
        <f t="shared" ref="H43:O43" si="22">G43+1</f>
        <v>5</v>
      </c>
      <c r="I43" s="16">
        <f t="shared" si="22"/>
        <v>6</v>
      </c>
      <c r="J43" s="16">
        <f t="shared" si="22"/>
        <v>7</v>
      </c>
      <c r="K43" s="16">
        <f t="shared" si="22"/>
        <v>8</v>
      </c>
      <c r="L43" s="16">
        <f t="shared" si="22"/>
        <v>9</v>
      </c>
      <c r="M43" s="16">
        <f t="shared" si="22"/>
        <v>10</v>
      </c>
      <c r="N43" s="16">
        <f t="shared" si="22"/>
        <v>11</v>
      </c>
      <c r="O43" s="16">
        <f t="shared" si="22"/>
        <v>12</v>
      </c>
    </row>
    <row r="44" spans="2:15" x14ac:dyDescent="0.3">
      <c r="B44" s="23" t="s">
        <v>52</v>
      </c>
      <c r="C44" s="58">
        <v>2</v>
      </c>
      <c r="D44" s="58"/>
      <c r="E44" s="58"/>
      <c r="F44" s="58">
        <v>3</v>
      </c>
      <c r="G44" s="23">
        <f t="shared" ref="G44:O44" si="23">F44+$C$44</f>
        <v>5</v>
      </c>
      <c r="H44" s="23">
        <f t="shared" si="23"/>
        <v>7</v>
      </c>
      <c r="I44" s="23">
        <f t="shared" si="23"/>
        <v>9</v>
      </c>
      <c r="J44" s="23">
        <f t="shared" si="23"/>
        <v>11</v>
      </c>
      <c r="K44" s="23">
        <f t="shared" si="23"/>
        <v>13</v>
      </c>
      <c r="L44" s="23">
        <f t="shared" si="23"/>
        <v>15</v>
      </c>
      <c r="M44" s="23">
        <f t="shared" si="23"/>
        <v>17</v>
      </c>
      <c r="N44" s="23">
        <f t="shared" si="23"/>
        <v>19</v>
      </c>
      <c r="O44" s="23">
        <f t="shared" si="23"/>
        <v>21</v>
      </c>
    </row>
    <row r="45" spans="2:15" x14ac:dyDescent="0.3">
      <c r="B45" s="23" t="s">
        <v>76</v>
      </c>
      <c r="C45" s="59">
        <v>0.03</v>
      </c>
      <c r="D45" s="59"/>
      <c r="E45" s="59"/>
      <c r="F45" s="60">
        <v>2000</v>
      </c>
      <c r="G45" s="47">
        <f t="shared" ref="G45:O45" si="24">F45*(1+$C$45)</f>
        <v>2060</v>
      </c>
      <c r="H45" s="47">
        <f t="shared" si="24"/>
        <v>2121.8000000000002</v>
      </c>
      <c r="I45" s="47">
        <f t="shared" si="24"/>
        <v>2185.4540000000002</v>
      </c>
      <c r="J45" s="47">
        <f t="shared" si="24"/>
        <v>2251.0176200000001</v>
      </c>
      <c r="K45" s="47">
        <f t="shared" si="24"/>
        <v>2318.5481486000003</v>
      </c>
      <c r="L45" s="47">
        <f t="shared" si="24"/>
        <v>2388.1045930580003</v>
      </c>
      <c r="M45" s="47">
        <f t="shared" si="24"/>
        <v>2459.7477308497405</v>
      </c>
      <c r="N45" s="47">
        <f t="shared" si="24"/>
        <v>2533.5401627752326</v>
      </c>
      <c r="O45" s="47">
        <f t="shared" si="24"/>
        <v>2609.5463676584895</v>
      </c>
    </row>
    <row r="47" spans="2:15" x14ac:dyDescent="0.3">
      <c r="B47" s="23" t="s">
        <v>77</v>
      </c>
      <c r="C47" s="23" t="s">
        <v>51</v>
      </c>
      <c r="D47" s="23"/>
      <c r="E47" s="23"/>
      <c r="F47" s="48">
        <v>1</v>
      </c>
      <c r="G47" s="48">
        <v>2</v>
      </c>
      <c r="H47" s="48">
        <v>3</v>
      </c>
      <c r="I47" s="48">
        <v>4</v>
      </c>
      <c r="J47" s="48">
        <v>5</v>
      </c>
      <c r="K47" s="48">
        <v>6</v>
      </c>
      <c r="L47" s="48">
        <v>7</v>
      </c>
      <c r="M47" s="48">
        <v>8</v>
      </c>
      <c r="N47" s="48">
        <v>9</v>
      </c>
      <c r="O47" s="48">
        <v>10</v>
      </c>
    </row>
    <row r="48" spans="2:15" x14ac:dyDescent="0.3">
      <c r="B48" s="23" t="s">
        <v>52</v>
      </c>
      <c r="C48" s="23"/>
      <c r="D48" s="23"/>
      <c r="E48" s="23"/>
      <c r="F48" s="58">
        <v>1</v>
      </c>
      <c r="G48" s="58">
        <f t="shared" ref="G48:O48" si="25">F48</f>
        <v>1</v>
      </c>
      <c r="H48" s="58">
        <f t="shared" si="25"/>
        <v>1</v>
      </c>
      <c r="I48" s="58">
        <f t="shared" si="25"/>
        <v>1</v>
      </c>
      <c r="J48" s="58">
        <f t="shared" si="25"/>
        <v>1</v>
      </c>
      <c r="K48" s="58">
        <f t="shared" si="25"/>
        <v>1</v>
      </c>
      <c r="L48" s="58">
        <f t="shared" si="25"/>
        <v>1</v>
      </c>
      <c r="M48" s="58">
        <f t="shared" si="25"/>
        <v>1</v>
      </c>
      <c r="N48" s="58">
        <f t="shared" si="25"/>
        <v>1</v>
      </c>
      <c r="O48" s="58">
        <f t="shared" si="25"/>
        <v>1</v>
      </c>
    </row>
    <row r="49" spans="2:16" x14ac:dyDescent="0.3">
      <c r="B49" s="23" t="s">
        <v>78</v>
      </c>
      <c r="C49" s="59">
        <v>0.03</v>
      </c>
      <c r="D49" s="59"/>
      <c r="E49" s="59"/>
      <c r="F49" s="60">
        <v>20000</v>
      </c>
      <c r="G49" s="47">
        <f t="shared" ref="G49:O49" si="26">F49*(1+$C$49)</f>
        <v>20600</v>
      </c>
      <c r="H49" s="47">
        <f t="shared" si="26"/>
        <v>21218</v>
      </c>
      <c r="I49" s="47">
        <f t="shared" si="26"/>
        <v>21854.54</v>
      </c>
      <c r="J49" s="47">
        <f t="shared" si="26"/>
        <v>22510.176200000002</v>
      </c>
      <c r="K49" s="47">
        <f t="shared" si="26"/>
        <v>23185.481486000001</v>
      </c>
      <c r="L49" s="47">
        <f t="shared" si="26"/>
        <v>23881.04593058</v>
      </c>
      <c r="M49" s="47">
        <f t="shared" si="26"/>
        <v>24597.4773084974</v>
      </c>
      <c r="N49" s="47">
        <f t="shared" si="26"/>
        <v>25335.401627752322</v>
      </c>
      <c r="O49" s="47">
        <f t="shared" si="26"/>
        <v>26095.463676584892</v>
      </c>
    </row>
    <row r="51" spans="2:16" x14ac:dyDescent="0.3">
      <c r="B51" s="23" t="s">
        <v>79</v>
      </c>
      <c r="C51" s="23"/>
      <c r="D51" s="23"/>
      <c r="E51" s="23"/>
      <c r="F51" s="62">
        <f t="shared" ref="F51:O51" si="27">F44*F45</f>
        <v>6000</v>
      </c>
      <c r="G51" s="62">
        <f t="shared" si="27"/>
        <v>10300</v>
      </c>
      <c r="H51" s="62">
        <f t="shared" si="27"/>
        <v>14852.600000000002</v>
      </c>
      <c r="I51" s="62">
        <f t="shared" si="27"/>
        <v>19669.086000000003</v>
      </c>
      <c r="J51" s="62">
        <f t="shared" si="27"/>
        <v>24761.19382</v>
      </c>
      <c r="K51" s="62">
        <f t="shared" si="27"/>
        <v>30141.125931800005</v>
      </c>
      <c r="L51" s="62">
        <f t="shared" si="27"/>
        <v>35821.568895870005</v>
      </c>
      <c r="M51" s="62">
        <f t="shared" si="27"/>
        <v>41815.711424445588</v>
      </c>
      <c r="N51" s="62">
        <f t="shared" si="27"/>
        <v>48137.263092729423</v>
      </c>
      <c r="O51" s="62">
        <f t="shared" si="27"/>
        <v>54800.473720828282</v>
      </c>
    </row>
    <row r="52" spans="2:16" x14ac:dyDescent="0.3">
      <c r="B52" s="23" t="s">
        <v>80</v>
      </c>
      <c r="C52" s="23"/>
      <c r="D52" s="23"/>
      <c r="E52" s="23"/>
      <c r="F52" s="62">
        <f t="shared" ref="F52:O52" si="28">F48*F49</f>
        <v>20000</v>
      </c>
      <c r="G52" s="62">
        <f t="shared" si="28"/>
        <v>20600</v>
      </c>
      <c r="H52" s="62">
        <f t="shared" si="28"/>
        <v>21218</v>
      </c>
      <c r="I52" s="62">
        <f t="shared" si="28"/>
        <v>21854.54</v>
      </c>
      <c r="J52" s="62">
        <f t="shared" si="28"/>
        <v>22510.176200000002</v>
      </c>
      <c r="K52" s="62">
        <f t="shared" si="28"/>
        <v>23185.481486000001</v>
      </c>
      <c r="L52" s="62">
        <f t="shared" si="28"/>
        <v>23881.04593058</v>
      </c>
      <c r="M52" s="62">
        <f t="shared" si="28"/>
        <v>24597.4773084974</v>
      </c>
      <c r="N52" s="62">
        <f t="shared" si="28"/>
        <v>25335.401627752322</v>
      </c>
      <c r="O52" s="62">
        <f t="shared" si="28"/>
        <v>26095.463676584892</v>
      </c>
    </row>
    <row r="53" spans="2:16" s="36" customFormat="1" x14ac:dyDescent="0.3">
      <c r="B53" s="48" t="s">
        <v>21</v>
      </c>
      <c r="C53" s="48"/>
      <c r="D53" s="48"/>
      <c r="E53" s="48"/>
      <c r="F53" s="63">
        <f t="shared" ref="F53:O53" si="29">SUM(F51:F52)</f>
        <v>26000</v>
      </c>
      <c r="G53" s="63">
        <f t="shared" si="29"/>
        <v>30900</v>
      </c>
      <c r="H53" s="63">
        <f t="shared" si="29"/>
        <v>36070.600000000006</v>
      </c>
      <c r="I53" s="63">
        <f t="shared" si="29"/>
        <v>41523.626000000004</v>
      </c>
      <c r="J53" s="63">
        <f t="shared" si="29"/>
        <v>47271.370020000002</v>
      </c>
      <c r="K53" s="63">
        <f t="shared" si="29"/>
        <v>53326.607417800005</v>
      </c>
      <c r="L53" s="63">
        <f t="shared" si="29"/>
        <v>59702.614826450008</v>
      </c>
      <c r="M53" s="63">
        <f t="shared" si="29"/>
        <v>66413.188732942988</v>
      </c>
      <c r="N53" s="63">
        <f t="shared" si="29"/>
        <v>73472.664720481742</v>
      </c>
      <c r="O53" s="63">
        <f t="shared" si="29"/>
        <v>80895.937397413174</v>
      </c>
    </row>
    <row r="55" spans="2:16" x14ac:dyDescent="0.3">
      <c r="B55" s="23"/>
      <c r="C55" s="23" t="s">
        <v>51</v>
      </c>
      <c r="D55" s="20">
        <v>1</v>
      </c>
      <c r="E55" s="20">
        <f>D55+1</f>
        <v>2</v>
      </c>
      <c r="F55" s="16">
        <f>E55+1</f>
        <v>3</v>
      </c>
      <c r="G55" s="16">
        <f>F55+1</f>
        <v>4</v>
      </c>
      <c r="H55" s="16">
        <f t="shared" ref="H55:O55" si="30">G55+1</f>
        <v>5</v>
      </c>
      <c r="I55" s="16">
        <f t="shared" si="30"/>
        <v>6</v>
      </c>
      <c r="J55" s="16">
        <f t="shared" si="30"/>
        <v>7</v>
      </c>
      <c r="K55" s="16">
        <f t="shared" si="30"/>
        <v>8</v>
      </c>
      <c r="L55" s="16">
        <f t="shared" si="30"/>
        <v>9</v>
      </c>
      <c r="M55" s="16">
        <f t="shared" si="30"/>
        <v>10</v>
      </c>
      <c r="N55" s="16">
        <f t="shared" si="30"/>
        <v>11</v>
      </c>
      <c r="O55" s="16">
        <f t="shared" si="30"/>
        <v>12</v>
      </c>
    </row>
    <row r="56" spans="2:16" x14ac:dyDescent="0.3">
      <c r="B56" s="23" t="s">
        <v>81</v>
      </c>
      <c r="C56" s="59">
        <v>0.03</v>
      </c>
      <c r="D56" s="59"/>
      <c r="E56" s="59"/>
      <c r="F56" s="60">
        <f>100*8</f>
        <v>800</v>
      </c>
      <c r="G56" s="62">
        <f t="shared" ref="G56:O56" si="31">F56*(1+$C$56)</f>
        <v>824</v>
      </c>
      <c r="H56" s="62">
        <f t="shared" si="31"/>
        <v>848.72</v>
      </c>
      <c r="I56" s="62">
        <f t="shared" si="31"/>
        <v>874.1816</v>
      </c>
      <c r="J56" s="62">
        <f t="shared" si="31"/>
        <v>900.40704800000003</v>
      </c>
      <c r="K56" s="62">
        <f t="shared" si="31"/>
        <v>927.41925944000002</v>
      </c>
      <c r="L56" s="62">
        <f t="shared" si="31"/>
        <v>955.24183722320004</v>
      </c>
      <c r="M56" s="62">
        <f t="shared" si="31"/>
        <v>983.89909233989601</v>
      </c>
      <c r="N56" s="62">
        <f t="shared" si="31"/>
        <v>1013.416065110093</v>
      </c>
      <c r="O56" s="62">
        <f t="shared" si="31"/>
        <v>1043.8185470633957</v>
      </c>
      <c r="P56" s="77" t="s">
        <v>82</v>
      </c>
    </row>
    <row r="57" spans="2:16" x14ac:dyDescent="0.3">
      <c r="B57" s="48" t="s">
        <v>61</v>
      </c>
      <c r="C57" s="48"/>
      <c r="D57" s="48"/>
      <c r="E57" s="48"/>
      <c r="F57" s="63">
        <f t="shared" ref="F57:O57" si="32">F56*F44</f>
        <v>2400</v>
      </c>
      <c r="G57" s="63">
        <f t="shared" si="32"/>
        <v>4120</v>
      </c>
      <c r="H57" s="63">
        <f t="shared" si="32"/>
        <v>5941.04</v>
      </c>
      <c r="I57" s="63">
        <f t="shared" si="32"/>
        <v>7867.6343999999999</v>
      </c>
      <c r="J57" s="63">
        <f t="shared" si="32"/>
        <v>9904.4775279999994</v>
      </c>
      <c r="K57" s="63">
        <f t="shared" si="32"/>
        <v>12056.450372720001</v>
      </c>
      <c r="L57" s="63">
        <f t="shared" si="32"/>
        <v>14328.627558348</v>
      </c>
      <c r="M57" s="63">
        <f t="shared" si="32"/>
        <v>16726.284569778232</v>
      </c>
      <c r="N57" s="63">
        <f t="shared" si="32"/>
        <v>19254.905237091767</v>
      </c>
      <c r="O57" s="63">
        <f t="shared" si="32"/>
        <v>21920.189488331311</v>
      </c>
    </row>
    <row r="58" spans="2:16" x14ac:dyDescent="0.3">
      <c r="B58" s="23" t="s">
        <v>73</v>
      </c>
      <c r="C58" s="23"/>
      <c r="D58" s="23"/>
      <c r="E58" s="23"/>
      <c r="F58" s="76">
        <f t="shared" ref="F58:O58" si="33">(F51-F57)/F51</f>
        <v>0.6</v>
      </c>
      <c r="G58" s="76">
        <f t="shared" si="33"/>
        <v>0.6</v>
      </c>
      <c r="H58" s="76">
        <f t="shared" si="33"/>
        <v>0.6</v>
      </c>
      <c r="I58" s="76">
        <f t="shared" si="33"/>
        <v>0.60000000000000009</v>
      </c>
      <c r="J58" s="76">
        <f t="shared" si="33"/>
        <v>0.6</v>
      </c>
      <c r="K58" s="76">
        <f t="shared" si="33"/>
        <v>0.6</v>
      </c>
      <c r="L58" s="76">
        <f t="shared" si="33"/>
        <v>0.6</v>
      </c>
      <c r="M58" s="76">
        <f t="shared" si="33"/>
        <v>0.60000000000000009</v>
      </c>
      <c r="N58" s="76">
        <f t="shared" si="33"/>
        <v>0.60000000000000009</v>
      </c>
      <c r="O58" s="76">
        <f t="shared" si="33"/>
        <v>0.6</v>
      </c>
    </row>
    <row r="59" spans="2:16" x14ac:dyDescent="0.3">
      <c r="F59" s="78"/>
    </row>
    <row r="60" spans="2:16" x14ac:dyDescent="0.3">
      <c r="B60" s="23" t="s">
        <v>83</v>
      </c>
      <c r="C60" s="59">
        <v>0.03</v>
      </c>
      <c r="D60" s="59"/>
      <c r="E60" s="59"/>
      <c r="F60" s="60">
        <f>100*8*10</f>
        <v>8000</v>
      </c>
      <c r="G60" s="62">
        <f t="shared" ref="G60:O60" si="34">F60*(1+$C$60)</f>
        <v>8240</v>
      </c>
      <c r="H60" s="62">
        <f t="shared" si="34"/>
        <v>8487.2000000000007</v>
      </c>
      <c r="I60" s="62">
        <f t="shared" si="34"/>
        <v>8741.8160000000007</v>
      </c>
      <c r="J60" s="62">
        <f t="shared" si="34"/>
        <v>9004.0704800000003</v>
      </c>
      <c r="K60" s="62">
        <f t="shared" si="34"/>
        <v>9274.1925944000013</v>
      </c>
      <c r="L60" s="62">
        <f t="shared" si="34"/>
        <v>9552.4183722320013</v>
      </c>
      <c r="M60" s="62">
        <f t="shared" si="34"/>
        <v>9838.990923398962</v>
      </c>
      <c r="N60" s="62">
        <f t="shared" si="34"/>
        <v>10134.16065110093</v>
      </c>
      <c r="O60" s="62">
        <f t="shared" si="34"/>
        <v>10438.185470633958</v>
      </c>
      <c r="P60" s="77" t="s">
        <v>84</v>
      </c>
    </row>
    <row r="61" spans="2:16" x14ac:dyDescent="0.3">
      <c r="B61" s="48" t="s">
        <v>61</v>
      </c>
      <c r="C61" s="48"/>
      <c r="D61" s="48"/>
      <c r="E61" s="48"/>
      <c r="F61" s="63">
        <f t="shared" ref="F61:O61" si="35">F60*F48</f>
        <v>8000</v>
      </c>
      <c r="G61" s="63">
        <f t="shared" si="35"/>
        <v>8240</v>
      </c>
      <c r="H61" s="63">
        <f t="shared" si="35"/>
        <v>8487.2000000000007</v>
      </c>
      <c r="I61" s="63">
        <f t="shared" si="35"/>
        <v>8741.8160000000007</v>
      </c>
      <c r="J61" s="63">
        <f t="shared" si="35"/>
        <v>9004.0704800000003</v>
      </c>
      <c r="K61" s="63">
        <f t="shared" si="35"/>
        <v>9274.1925944000013</v>
      </c>
      <c r="L61" s="63">
        <f t="shared" si="35"/>
        <v>9552.4183722320013</v>
      </c>
      <c r="M61" s="63">
        <f t="shared" si="35"/>
        <v>9838.990923398962</v>
      </c>
      <c r="N61" s="63">
        <f t="shared" si="35"/>
        <v>10134.16065110093</v>
      </c>
      <c r="O61" s="63">
        <f t="shared" si="35"/>
        <v>10438.185470633958</v>
      </c>
    </row>
    <row r="62" spans="2:16" x14ac:dyDescent="0.3">
      <c r="B62" s="23" t="s">
        <v>73</v>
      </c>
      <c r="C62" s="23"/>
      <c r="D62" s="23"/>
      <c r="E62" s="23"/>
      <c r="F62" s="76">
        <f t="shared" ref="F62:O62" si="36">(F52-F61)/F52</f>
        <v>0.6</v>
      </c>
      <c r="G62" s="76">
        <f t="shared" si="36"/>
        <v>0.6</v>
      </c>
      <c r="H62" s="76">
        <f t="shared" si="36"/>
        <v>0.6</v>
      </c>
      <c r="I62" s="76">
        <f t="shared" si="36"/>
        <v>0.6</v>
      </c>
      <c r="J62" s="76">
        <f t="shared" si="36"/>
        <v>0.6</v>
      </c>
      <c r="K62" s="76">
        <f t="shared" si="36"/>
        <v>0.6</v>
      </c>
      <c r="L62" s="76">
        <f t="shared" si="36"/>
        <v>0.6</v>
      </c>
      <c r="M62" s="76">
        <f t="shared" si="36"/>
        <v>0.6</v>
      </c>
      <c r="N62" s="76">
        <f t="shared" si="36"/>
        <v>0.6</v>
      </c>
      <c r="O62" s="76">
        <f t="shared" si="36"/>
        <v>0.6</v>
      </c>
    </row>
    <row r="63" spans="2:16" x14ac:dyDescent="0.3">
      <c r="F63" s="79"/>
      <c r="I63" s="7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8CFB0-57AC-FD42-9D19-6710F6884DB7}">
  <sheetPr>
    <tabColor theme="8"/>
  </sheetPr>
  <dimension ref="B2:O26"/>
  <sheetViews>
    <sheetView showGridLines="0" zoomScale="90" zoomScaleNormal="90" workbookViewId="0"/>
  </sheetViews>
  <sheetFormatPr defaultColWidth="11.19921875" defaultRowHeight="15.6" x14ac:dyDescent="0.3"/>
  <cols>
    <col min="1" max="1" width="5" customWidth="1"/>
    <col min="2" max="2" width="32.796875" customWidth="1"/>
    <col min="4" max="5" width="11" bestFit="1" customWidth="1"/>
    <col min="6" max="9" width="12.5" bestFit="1" customWidth="1"/>
    <col min="10" max="15" width="14" bestFit="1" customWidth="1"/>
  </cols>
  <sheetData>
    <row r="2" spans="2:15" ht="18" x14ac:dyDescent="0.35">
      <c r="B2" s="54" t="s">
        <v>202</v>
      </c>
    </row>
    <row r="3" spans="2:15" x14ac:dyDescent="0.3">
      <c r="B3" s="23" t="s">
        <v>85</v>
      </c>
      <c r="C3" s="152" t="s">
        <v>70</v>
      </c>
      <c r="D3" s="20">
        <v>1</v>
      </c>
      <c r="E3" s="20">
        <f t="shared" ref="E3:O3" si="0">D3+1</f>
        <v>2</v>
      </c>
      <c r="F3" s="16">
        <f t="shared" si="0"/>
        <v>3</v>
      </c>
      <c r="G3" s="16">
        <f t="shared" si="0"/>
        <v>4</v>
      </c>
      <c r="H3" s="16">
        <f t="shared" si="0"/>
        <v>5</v>
      </c>
      <c r="I3" s="16">
        <f t="shared" si="0"/>
        <v>6</v>
      </c>
      <c r="J3" s="16">
        <f t="shared" si="0"/>
        <v>7</v>
      </c>
      <c r="K3" s="16">
        <f t="shared" si="0"/>
        <v>8</v>
      </c>
      <c r="L3" s="16">
        <f t="shared" si="0"/>
        <v>9</v>
      </c>
      <c r="M3" s="16">
        <f t="shared" si="0"/>
        <v>10</v>
      </c>
      <c r="N3" s="16">
        <f t="shared" si="0"/>
        <v>11</v>
      </c>
      <c r="O3" s="16">
        <f t="shared" si="0"/>
        <v>12</v>
      </c>
    </row>
    <row r="4" spans="2:15" x14ac:dyDescent="0.3">
      <c r="B4" s="23" t="s">
        <v>86</v>
      </c>
      <c r="C4" s="156"/>
      <c r="D4" s="156"/>
      <c r="E4" s="156"/>
      <c r="F4" s="156"/>
      <c r="G4" s="156">
        <f t="shared" ref="G4:O4" si="1">F4+$C4</f>
        <v>0</v>
      </c>
      <c r="H4" s="156">
        <f t="shared" si="1"/>
        <v>0</v>
      </c>
      <c r="I4" s="156">
        <f t="shared" si="1"/>
        <v>0</v>
      </c>
      <c r="J4" s="156">
        <f t="shared" si="1"/>
        <v>0</v>
      </c>
      <c r="K4" s="156">
        <f t="shared" si="1"/>
        <v>0</v>
      </c>
      <c r="L4" s="156">
        <f t="shared" si="1"/>
        <v>0</v>
      </c>
      <c r="M4" s="156">
        <f t="shared" si="1"/>
        <v>0</v>
      </c>
      <c r="N4" s="156">
        <f t="shared" si="1"/>
        <v>0</v>
      </c>
      <c r="O4" s="156">
        <f t="shared" si="1"/>
        <v>0</v>
      </c>
    </row>
    <row r="5" spans="2:15" x14ac:dyDescent="0.3">
      <c r="B5" s="23" t="s">
        <v>87</v>
      </c>
      <c r="C5" s="156"/>
      <c r="D5" s="156"/>
      <c r="E5" s="156"/>
      <c r="F5" s="156"/>
      <c r="G5" s="156">
        <f t="shared" ref="G5:O5" si="2">F5+$C5</f>
        <v>0</v>
      </c>
      <c r="H5" s="156">
        <f t="shared" si="2"/>
        <v>0</v>
      </c>
      <c r="I5" s="156">
        <f t="shared" si="2"/>
        <v>0</v>
      </c>
      <c r="J5" s="156">
        <f t="shared" si="2"/>
        <v>0</v>
      </c>
      <c r="K5" s="156">
        <f t="shared" si="2"/>
        <v>0</v>
      </c>
      <c r="L5" s="156">
        <f t="shared" si="2"/>
        <v>0</v>
      </c>
      <c r="M5" s="156">
        <f t="shared" si="2"/>
        <v>0</v>
      </c>
      <c r="N5" s="156">
        <f t="shared" si="2"/>
        <v>0</v>
      </c>
      <c r="O5" s="156">
        <f t="shared" si="2"/>
        <v>0</v>
      </c>
    </row>
    <row r="6" spans="2:15" x14ac:dyDescent="0.3">
      <c r="B6" s="23" t="s">
        <v>88</v>
      </c>
      <c r="C6" s="58">
        <v>1</v>
      </c>
      <c r="D6" s="58">
        <v>0</v>
      </c>
      <c r="E6" s="58">
        <v>0</v>
      </c>
      <c r="F6" s="58">
        <v>1</v>
      </c>
      <c r="G6" s="23">
        <f t="shared" ref="G6:O6" si="3">F6+$C6</f>
        <v>2</v>
      </c>
      <c r="H6" s="23">
        <f t="shared" si="3"/>
        <v>3</v>
      </c>
      <c r="I6" s="23">
        <f t="shared" si="3"/>
        <v>4</v>
      </c>
      <c r="J6" s="23">
        <f t="shared" si="3"/>
        <v>5</v>
      </c>
      <c r="K6" s="23">
        <f t="shared" si="3"/>
        <v>6</v>
      </c>
      <c r="L6" s="23">
        <f t="shared" si="3"/>
        <v>7</v>
      </c>
      <c r="M6" s="23">
        <f t="shared" si="3"/>
        <v>8</v>
      </c>
      <c r="N6" s="23">
        <f t="shared" si="3"/>
        <v>9</v>
      </c>
      <c r="O6" s="23">
        <f t="shared" si="3"/>
        <v>10</v>
      </c>
    </row>
    <row r="7" spans="2:15" x14ac:dyDescent="0.3">
      <c r="B7" s="23" t="s">
        <v>18</v>
      </c>
      <c r="C7" s="156"/>
      <c r="D7" s="156"/>
      <c r="E7" s="156"/>
      <c r="F7" s="156"/>
      <c r="G7" s="156">
        <f t="shared" ref="G7:O7" si="4">F7+$C7</f>
        <v>0</v>
      </c>
      <c r="H7" s="156">
        <f t="shared" si="4"/>
        <v>0</v>
      </c>
      <c r="I7" s="156">
        <f t="shared" si="4"/>
        <v>0</v>
      </c>
      <c r="J7" s="156">
        <f t="shared" si="4"/>
        <v>0</v>
      </c>
      <c r="K7" s="156">
        <f t="shared" si="4"/>
        <v>0</v>
      </c>
      <c r="L7" s="156">
        <f t="shared" si="4"/>
        <v>0</v>
      </c>
      <c r="M7" s="156">
        <f t="shared" si="4"/>
        <v>0</v>
      </c>
      <c r="N7" s="156">
        <f t="shared" si="4"/>
        <v>0</v>
      </c>
      <c r="O7" s="156">
        <f t="shared" si="4"/>
        <v>0</v>
      </c>
    </row>
    <row r="8" spans="2:15" s="36" customFormat="1" x14ac:dyDescent="0.3">
      <c r="B8" s="48" t="s">
        <v>89</v>
      </c>
      <c r="C8" s="48"/>
      <c r="D8" s="48">
        <f>SUM(D4:D7)</f>
        <v>0</v>
      </c>
      <c r="E8" s="48">
        <f>SUM(E4:E7)</f>
        <v>0</v>
      </c>
      <c r="F8" s="48">
        <f>SUM(F4:F7)</f>
        <v>1</v>
      </c>
      <c r="G8" s="48">
        <f t="shared" ref="G8:O8" si="5">SUM(G4:G7)</f>
        <v>2</v>
      </c>
      <c r="H8" s="48">
        <f t="shared" si="5"/>
        <v>3</v>
      </c>
      <c r="I8" s="48">
        <f t="shared" si="5"/>
        <v>4</v>
      </c>
      <c r="J8" s="48">
        <f t="shared" si="5"/>
        <v>5</v>
      </c>
      <c r="K8" s="48">
        <f t="shared" si="5"/>
        <v>6</v>
      </c>
      <c r="L8" s="48">
        <f t="shared" si="5"/>
        <v>7</v>
      </c>
      <c r="M8" s="48">
        <f t="shared" si="5"/>
        <v>8</v>
      </c>
      <c r="N8" s="48">
        <f t="shared" si="5"/>
        <v>9</v>
      </c>
      <c r="O8" s="48">
        <f t="shared" si="5"/>
        <v>10</v>
      </c>
    </row>
    <row r="11" spans="2:15" x14ac:dyDescent="0.3">
      <c r="B11" s="48" t="s">
        <v>90</v>
      </c>
      <c r="C11" s="23"/>
      <c r="D11" s="20">
        <v>1</v>
      </c>
      <c r="E11" s="20">
        <f t="shared" ref="E11:O11" si="6">D11+1</f>
        <v>2</v>
      </c>
      <c r="F11" s="16">
        <f t="shared" si="6"/>
        <v>3</v>
      </c>
      <c r="G11" s="16">
        <f t="shared" si="6"/>
        <v>4</v>
      </c>
      <c r="H11" s="16">
        <f t="shared" si="6"/>
        <v>5</v>
      </c>
      <c r="I11" s="16">
        <f t="shared" si="6"/>
        <v>6</v>
      </c>
      <c r="J11" s="16">
        <f t="shared" si="6"/>
        <v>7</v>
      </c>
      <c r="K11" s="16">
        <f t="shared" si="6"/>
        <v>8</v>
      </c>
      <c r="L11" s="16">
        <f t="shared" si="6"/>
        <v>9</v>
      </c>
      <c r="M11" s="16">
        <f t="shared" si="6"/>
        <v>10</v>
      </c>
      <c r="N11" s="16">
        <f t="shared" si="6"/>
        <v>11</v>
      </c>
      <c r="O11" s="16">
        <f t="shared" si="6"/>
        <v>12</v>
      </c>
    </row>
    <row r="12" spans="2:15" x14ac:dyDescent="0.3">
      <c r="B12" s="23" t="s">
        <v>86</v>
      </c>
      <c r="C12" s="157">
        <v>0.15</v>
      </c>
      <c r="D12" s="157">
        <f t="shared" ref="D12:E15" si="7">$C12</f>
        <v>0.15</v>
      </c>
      <c r="E12" s="157">
        <f t="shared" si="7"/>
        <v>0.15</v>
      </c>
      <c r="F12" s="158">
        <f t="shared" ref="F12:O14" si="8">$C12</f>
        <v>0.15</v>
      </c>
      <c r="G12" s="158">
        <f t="shared" si="8"/>
        <v>0.15</v>
      </c>
      <c r="H12" s="158">
        <f t="shared" si="8"/>
        <v>0.15</v>
      </c>
      <c r="I12" s="158">
        <f t="shared" si="8"/>
        <v>0.15</v>
      </c>
      <c r="J12" s="158">
        <f t="shared" si="8"/>
        <v>0.15</v>
      </c>
      <c r="K12" s="158">
        <f t="shared" si="8"/>
        <v>0.15</v>
      </c>
      <c r="L12" s="158">
        <f t="shared" si="8"/>
        <v>0.15</v>
      </c>
      <c r="M12" s="158">
        <f t="shared" si="8"/>
        <v>0.15</v>
      </c>
      <c r="N12" s="158">
        <f t="shared" si="8"/>
        <v>0.15</v>
      </c>
      <c r="O12" s="158">
        <f t="shared" si="8"/>
        <v>0.15</v>
      </c>
    </row>
    <row r="13" spans="2:15" x14ac:dyDescent="0.3">
      <c r="B13" s="23" t="s">
        <v>87</v>
      </c>
      <c r="C13" s="157">
        <v>0.1</v>
      </c>
      <c r="D13" s="157">
        <f t="shared" si="7"/>
        <v>0.1</v>
      </c>
      <c r="E13" s="157">
        <f t="shared" si="7"/>
        <v>0.1</v>
      </c>
      <c r="F13" s="158">
        <f t="shared" si="8"/>
        <v>0.1</v>
      </c>
      <c r="G13" s="158">
        <f t="shared" si="8"/>
        <v>0.1</v>
      </c>
      <c r="H13" s="158">
        <f t="shared" si="8"/>
        <v>0.1</v>
      </c>
      <c r="I13" s="158">
        <f t="shared" si="8"/>
        <v>0.1</v>
      </c>
      <c r="J13" s="158">
        <f t="shared" si="8"/>
        <v>0.1</v>
      </c>
      <c r="K13" s="158">
        <f t="shared" si="8"/>
        <v>0.1</v>
      </c>
      <c r="L13" s="158">
        <f t="shared" si="8"/>
        <v>0.1</v>
      </c>
      <c r="M13" s="158">
        <f t="shared" si="8"/>
        <v>0.1</v>
      </c>
      <c r="N13" s="158">
        <f t="shared" si="8"/>
        <v>0.1</v>
      </c>
      <c r="O13" s="158">
        <f t="shared" si="8"/>
        <v>0.1</v>
      </c>
    </row>
    <row r="14" spans="2:15" x14ac:dyDescent="0.3">
      <c r="B14" s="23" t="s">
        <v>88</v>
      </c>
      <c r="C14" s="59">
        <v>0.1</v>
      </c>
      <c r="D14" s="151">
        <f t="shared" si="7"/>
        <v>0.1</v>
      </c>
      <c r="E14" s="151">
        <f t="shared" si="7"/>
        <v>0.1</v>
      </c>
      <c r="F14" s="76">
        <f t="shared" si="8"/>
        <v>0.1</v>
      </c>
      <c r="G14" s="76">
        <f t="shared" si="8"/>
        <v>0.1</v>
      </c>
      <c r="H14" s="76">
        <f t="shared" si="8"/>
        <v>0.1</v>
      </c>
      <c r="I14" s="76">
        <f t="shared" si="8"/>
        <v>0.1</v>
      </c>
      <c r="J14" s="76">
        <f t="shared" si="8"/>
        <v>0.1</v>
      </c>
      <c r="K14" s="76">
        <f t="shared" si="8"/>
        <v>0.1</v>
      </c>
      <c r="L14" s="76">
        <f t="shared" si="8"/>
        <v>0.1</v>
      </c>
      <c r="M14" s="76">
        <f t="shared" si="8"/>
        <v>0.1</v>
      </c>
      <c r="N14" s="76">
        <f t="shared" si="8"/>
        <v>0.1</v>
      </c>
      <c r="O14" s="76">
        <f t="shared" si="8"/>
        <v>0.1</v>
      </c>
    </row>
    <row r="15" spans="2:15" x14ac:dyDescent="0.3">
      <c r="B15" s="23" t="s">
        <v>18</v>
      </c>
      <c r="C15" s="157">
        <v>0.2</v>
      </c>
      <c r="D15" s="157">
        <f t="shared" si="7"/>
        <v>0.2</v>
      </c>
      <c r="E15" s="157">
        <f t="shared" si="7"/>
        <v>0.2</v>
      </c>
      <c r="F15" s="158">
        <f>$C15</f>
        <v>0.2</v>
      </c>
      <c r="G15" s="158">
        <f t="shared" ref="G15:O15" si="9">$C$15</f>
        <v>0.2</v>
      </c>
      <c r="H15" s="158">
        <f t="shared" si="9"/>
        <v>0.2</v>
      </c>
      <c r="I15" s="158">
        <f t="shared" si="9"/>
        <v>0.2</v>
      </c>
      <c r="J15" s="158">
        <f t="shared" si="9"/>
        <v>0.2</v>
      </c>
      <c r="K15" s="158">
        <f t="shared" si="9"/>
        <v>0.2</v>
      </c>
      <c r="L15" s="158">
        <f t="shared" si="9"/>
        <v>0.2</v>
      </c>
      <c r="M15" s="158">
        <f t="shared" si="9"/>
        <v>0.2</v>
      </c>
      <c r="N15" s="158">
        <f t="shared" si="9"/>
        <v>0.2</v>
      </c>
      <c r="O15" s="158">
        <f t="shared" si="9"/>
        <v>0.2</v>
      </c>
    </row>
    <row r="18" spans="2:15" ht="16.2" thickBot="1" x14ac:dyDescent="0.35">
      <c r="B18" s="147" t="s">
        <v>200</v>
      </c>
      <c r="C18" s="153" t="s">
        <v>201</v>
      </c>
      <c r="D18" s="20">
        <v>1</v>
      </c>
      <c r="E18" s="20">
        <f t="shared" ref="E18:O18" si="10">D18+1</f>
        <v>2</v>
      </c>
      <c r="F18" s="16">
        <f t="shared" si="10"/>
        <v>3</v>
      </c>
      <c r="G18" s="16">
        <f t="shared" si="10"/>
        <v>4</v>
      </c>
      <c r="H18" s="16">
        <f t="shared" si="10"/>
        <v>5</v>
      </c>
      <c r="I18" s="16">
        <f t="shared" si="10"/>
        <v>6</v>
      </c>
      <c r="J18" s="16">
        <f t="shared" si="10"/>
        <v>7</v>
      </c>
      <c r="K18" s="16">
        <f t="shared" si="10"/>
        <v>8</v>
      </c>
      <c r="L18" s="16">
        <f t="shared" si="10"/>
        <v>9</v>
      </c>
      <c r="M18" s="16">
        <f t="shared" si="10"/>
        <v>10</v>
      </c>
      <c r="N18" s="16">
        <f t="shared" si="10"/>
        <v>11</v>
      </c>
      <c r="O18" s="16">
        <f t="shared" si="10"/>
        <v>12</v>
      </c>
    </row>
    <row r="19" spans="2:15" ht="16.2" thickTop="1" x14ac:dyDescent="0.3">
      <c r="B19" s="56" t="s">
        <v>7</v>
      </c>
      <c r="C19" s="154">
        <v>0.01</v>
      </c>
      <c r="D19" s="154">
        <v>1</v>
      </c>
      <c r="E19" s="154">
        <v>1</v>
      </c>
      <c r="F19" s="89">
        <v>0.6</v>
      </c>
      <c r="G19" s="76">
        <f>F19*(1+$C19)</f>
        <v>0.60599999999999998</v>
      </c>
      <c r="H19" s="76">
        <f t="shared" ref="H19:N19" si="11">G19*(1+$C19)</f>
        <v>0.61205999999999994</v>
      </c>
      <c r="I19" s="76">
        <f t="shared" si="11"/>
        <v>0.61818059999999997</v>
      </c>
      <c r="J19" s="76">
        <f t="shared" si="11"/>
        <v>0.62436240599999993</v>
      </c>
      <c r="K19" s="76">
        <f t="shared" si="11"/>
        <v>0.63060603005999993</v>
      </c>
      <c r="L19" s="76">
        <f t="shared" si="11"/>
        <v>0.63691209036059993</v>
      </c>
      <c r="M19" s="76">
        <f t="shared" si="11"/>
        <v>0.6432812112642059</v>
      </c>
      <c r="N19" s="76">
        <f t="shared" si="11"/>
        <v>0.64971402337684792</v>
      </c>
      <c r="O19" s="76">
        <f>N19*(1+$C19)</f>
        <v>0.65621116361061638</v>
      </c>
    </row>
    <row r="20" spans="2:15" x14ac:dyDescent="0.3">
      <c r="B20" s="23" t="s">
        <v>8</v>
      </c>
      <c r="C20" s="148">
        <v>-0.01</v>
      </c>
      <c r="D20" s="160">
        <f>D21-D19</f>
        <v>0</v>
      </c>
      <c r="E20" s="160">
        <f>E21-E19</f>
        <v>0</v>
      </c>
      <c r="F20" s="160">
        <f>F21-F19</f>
        <v>0.4</v>
      </c>
      <c r="G20" s="160">
        <f t="shared" ref="G20:O20" si="12">G21-G19</f>
        <v>0.39400000000000002</v>
      </c>
      <c r="H20" s="160">
        <f t="shared" si="12"/>
        <v>0.38794000000000006</v>
      </c>
      <c r="I20" s="160">
        <f t="shared" si="12"/>
        <v>0.38181940000000003</v>
      </c>
      <c r="J20" s="160">
        <f t="shared" si="12"/>
        <v>0.37563759400000007</v>
      </c>
      <c r="K20" s="160">
        <f t="shared" si="12"/>
        <v>0.36939396994000007</v>
      </c>
      <c r="L20" s="160">
        <f t="shared" si="12"/>
        <v>0.36308790963940007</v>
      </c>
      <c r="M20" s="160">
        <f t="shared" si="12"/>
        <v>0.3567187887357941</v>
      </c>
      <c r="N20" s="160">
        <f t="shared" si="12"/>
        <v>0.35028597662315208</v>
      </c>
      <c r="O20" s="160">
        <f t="shared" si="12"/>
        <v>0.34378883638938362</v>
      </c>
    </row>
    <row r="21" spans="2:15" x14ac:dyDescent="0.3">
      <c r="B21" s="23"/>
      <c r="C21" s="23"/>
      <c r="D21" s="155">
        <v>1</v>
      </c>
      <c r="E21" s="155">
        <v>1</v>
      </c>
      <c r="F21" s="155">
        <v>1</v>
      </c>
      <c r="G21" s="155">
        <v>1</v>
      </c>
      <c r="H21" s="155">
        <v>1</v>
      </c>
      <c r="I21" s="155">
        <v>1</v>
      </c>
      <c r="J21" s="155">
        <v>1</v>
      </c>
      <c r="K21" s="155">
        <v>1</v>
      </c>
      <c r="L21" s="155">
        <v>1</v>
      </c>
      <c r="M21" s="155">
        <v>1</v>
      </c>
      <c r="N21" s="155">
        <v>1</v>
      </c>
      <c r="O21" s="155">
        <v>1</v>
      </c>
    </row>
    <row r="23" spans="2:15" x14ac:dyDescent="0.3">
      <c r="B23" s="23"/>
      <c r="C23" s="23"/>
      <c r="D23" s="20">
        <v>1</v>
      </c>
      <c r="E23" s="20">
        <f t="shared" ref="E23:O23" si="13">D23+1</f>
        <v>2</v>
      </c>
      <c r="F23" s="16">
        <f t="shared" si="13"/>
        <v>3</v>
      </c>
      <c r="G23" s="16">
        <f t="shared" si="13"/>
        <v>4</v>
      </c>
      <c r="H23" s="16">
        <f t="shared" si="13"/>
        <v>5</v>
      </c>
      <c r="I23" s="16">
        <f t="shared" si="13"/>
        <v>6</v>
      </c>
      <c r="J23" s="16">
        <f t="shared" si="13"/>
        <v>7</v>
      </c>
      <c r="K23" s="16">
        <f t="shared" si="13"/>
        <v>8</v>
      </c>
      <c r="L23" s="16">
        <f t="shared" si="13"/>
        <v>9</v>
      </c>
      <c r="M23" s="16">
        <f t="shared" si="13"/>
        <v>10</v>
      </c>
      <c r="N23" s="16">
        <f t="shared" si="13"/>
        <v>11</v>
      </c>
      <c r="O23" s="16">
        <f t="shared" si="13"/>
        <v>12</v>
      </c>
    </row>
    <row r="24" spans="2:15" x14ac:dyDescent="0.3">
      <c r="B24" s="23" t="s">
        <v>203</v>
      </c>
      <c r="C24" s="23"/>
      <c r="D24" s="47">
        <f>'Private Health Pricing'!C151</f>
        <v>10000</v>
      </c>
      <c r="E24" s="47">
        <f>'Private Health Pricing'!D151</f>
        <v>20000</v>
      </c>
      <c r="F24" s="47">
        <f>'Private Health Pricing'!E151</f>
        <v>220500</v>
      </c>
      <c r="G24" s="47">
        <f>'Private Health Pricing'!F151</f>
        <v>496125</v>
      </c>
      <c r="H24" s="47">
        <f>'Private Health Pricing'!G151</f>
        <v>738675</v>
      </c>
      <c r="I24" s="47">
        <f>'Private Health Pricing'!H151</f>
        <v>893025</v>
      </c>
      <c r="J24" s="47">
        <f>'Private Health Pricing'!I151</f>
        <v>1135575</v>
      </c>
      <c r="K24" s="47">
        <f>'Private Health Pricing'!J151</f>
        <v>1367100</v>
      </c>
      <c r="L24" s="47">
        <f>'Private Health Pricing'!K151</f>
        <v>1620675</v>
      </c>
      <c r="M24" s="47">
        <f>'Private Health Pricing'!L151</f>
        <v>1752975</v>
      </c>
      <c r="N24" s="47">
        <f>'Private Health Pricing'!M151</f>
        <v>1995525</v>
      </c>
      <c r="O24" s="47">
        <f>'Private Health Pricing'!N151</f>
        <v>2238075</v>
      </c>
    </row>
    <row r="25" spans="2:15" x14ac:dyDescent="0.3">
      <c r="B25" s="23" t="s">
        <v>7</v>
      </c>
      <c r="C25" s="23"/>
      <c r="D25" s="23"/>
      <c r="E25" s="23"/>
      <c r="F25" s="62">
        <f>F24*F19</f>
        <v>132300</v>
      </c>
      <c r="G25" s="62">
        <f t="shared" ref="G25:O25" si="14">G24*G19</f>
        <v>300651.75</v>
      </c>
      <c r="H25" s="62">
        <f t="shared" si="14"/>
        <v>452113.42049999995</v>
      </c>
      <c r="I25" s="62">
        <f t="shared" si="14"/>
        <v>552050.73031499994</v>
      </c>
      <c r="J25" s="62">
        <f t="shared" si="14"/>
        <v>709010.33919344994</v>
      </c>
      <c r="K25" s="62">
        <f t="shared" si="14"/>
        <v>862101.50369502592</v>
      </c>
      <c r="L25" s="62">
        <f t="shared" si="14"/>
        <v>1032227.5020451653</v>
      </c>
      <c r="M25" s="62">
        <f t="shared" si="14"/>
        <v>1127655.8813158714</v>
      </c>
      <c r="N25" s="62">
        <f t="shared" si="14"/>
        <v>1296520.5764990845</v>
      </c>
      <c r="O25" s="62">
        <f t="shared" si="14"/>
        <v>1468649.7999978303</v>
      </c>
    </row>
    <row r="26" spans="2:15" x14ac:dyDescent="0.3">
      <c r="B26" s="23" t="s">
        <v>8</v>
      </c>
      <c r="C26" s="23"/>
      <c r="D26" s="23"/>
      <c r="E26" s="23"/>
      <c r="F26" s="62">
        <f>F24*F20*(1-F14)</f>
        <v>79380</v>
      </c>
      <c r="G26" s="62">
        <f t="shared" ref="G26:O26" si="15">G24*G20*(1-G14)</f>
        <v>175925.92500000002</v>
      </c>
      <c r="H26" s="62">
        <f t="shared" si="15"/>
        <v>257905.42155000006</v>
      </c>
      <c r="I26" s="62">
        <f t="shared" si="15"/>
        <v>306876.84271649999</v>
      </c>
      <c r="J26" s="62">
        <f t="shared" si="15"/>
        <v>383908.19472589507</v>
      </c>
      <c r="K26" s="62">
        <f>K24*K20*(1-K14)</f>
        <v>454498.64667447668</v>
      </c>
      <c r="L26" s="62">
        <f t="shared" si="15"/>
        <v>529602.74815935129</v>
      </c>
      <c r="M26" s="62">
        <f t="shared" si="15"/>
        <v>562787.20681571576</v>
      </c>
      <c r="N26" s="62">
        <f t="shared" si="15"/>
        <v>629103.98115082399</v>
      </c>
      <c r="O26" s="62">
        <f t="shared" si="15"/>
        <v>692482.6800019528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D28BC-EBB8-C84C-A961-02F62B927230}">
  <dimension ref="B2:D106"/>
  <sheetViews>
    <sheetView showGridLines="0" zoomScale="89" zoomScaleNormal="90" workbookViewId="0"/>
  </sheetViews>
  <sheetFormatPr defaultColWidth="11.19921875" defaultRowHeight="15.6" x14ac:dyDescent="0.3"/>
  <cols>
    <col min="1" max="1" width="6.796875" customWidth="1"/>
    <col min="2" max="2" width="12.296875" bestFit="1" customWidth="1"/>
  </cols>
  <sheetData>
    <row r="2" spans="2:2" x14ac:dyDescent="0.3">
      <c r="B2" s="131" t="s">
        <v>152</v>
      </c>
    </row>
    <row r="3" spans="2:2" x14ac:dyDescent="0.3">
      <c r="B3" t="s">
        <v>153</v>
      </c>
    </row>
    <row r="5" spans="2:2" x14ac:dyDescent="0.3">
      <c r="B5" t="s">
        <v>154</v>
      </c>
    </row>
    <row r="6" spans="2:2" x14ac:dyDescent="0.3">
      <c r="B6" s="131" t="s">
        <v>155</v>
      </c>
    </row>
    <row r="28" spans="2:2" x14ac:dyDescent="0.3">
      <c r="B28" t="s">
        <v>156</v>
      </c>
    </row>
    <row r="29" spans="2:2" x14ac:dyDescent="0.3">
      <c r="B29" t="s">
        <v>157</v>
      </c>
    </row>
    <row r="30" spans="2:2" x14ac:dyDescent="0.3">
      <c r="B30" s="131" t="s">
        <v>158</v>
      </c>
    </row>
    <row r="64" spans="2:2" x14ac:dyDescent="0.3">
      <c r="B64" s="131" t="s">
        <v>159</v>
      </c>
    </row>
    <row r="66" spans="2:4" x14ac:dyDescent="0.3">
      <c r="B66" s="131" t="s">
        <v>160</v>
      </c>
    </row>
    <row r="67" spans="2:4" x14ac:dyDescent="0.3">
      <c r="B67" s="1"/>
    </row>
    <row r="68" spans="2:4" x14ac:dyDescent="0.3">
      <c r="B68" s="1"/>
    </row>
    <row r="69" spans="2:4" ht="21" x14ac:dyDescent="0.4">
      <c r="B69" s="132" t="s">
        <v>161</v>
      </c>
    </row>
    <row r="70" spans="2:4" x14ac:dyDescent="0.3">
      <c r="B70" s="131" t="s">
        <v>162</v>
      </c>
    </row>
    <row r="71" spans="2:4" x14ac:dyDescent="0.3">
      <c r="B71" t="s">
        <v>163</v>
      </c>
    </row>
    <row r="72" spans="2:4" x14ac:dyDescent="0.3">
      <c r="B72" t="s">
        <v>164</v>
      </c>
    </row>
    <row r="74" spans="2:4" x14ac:dyDescent="0.3">
      <c r="B74" t="s">
        <v>165</v>
      </c>
      <c r="D74" t="s">
        <v>166</v>
      </c>
    </row>
    <row r="75" spans="2:4" x14ac:dyDescent="0.3">
      <c r="B75" t="s">
        <v>167</v>
      </c>
      <c r="D75" t="s">
        <v>168</v>
      </c>
    </row>
    <row r="76" spans="2:4" x14ac:dyDescent="0.3">
      <c r="B76" t="s">
        <v>169</v>
      </c>
      <c r="D76" t="s">
        <v>170</v>
      </c>
    </row>
    <row r="78" spans="2:4" x14ac:dyDescent="0.3">
      <c r="B78" t="s">
        <v>171</v>
      </c>
    </row>
    <row r="79" spans="2:4" x14ac:dyDescent="0.3">
      <c r="B79" t="s">
        <v>172</v>
      </c>
    </row>
    <row r="80" spans="2:4" x14ac:dyDescent="0.3">
      <c r="B80" t="s">
        <v>173</v>
      </c>
    </row>
    <row r="81" spans="2:2" x14ac:dyDescent="0.3">
      <c r="B81" t="s">
        <v>174</v>
      </c>
    </row>
    <row r="82" spans="2:2" x14ac:dyDescent="0.3">
      <c r="B82" t="s">
        <v>175</v>
      </c>
    </row>
    <row r="83" spans="2:2" x14ac:dyDescent="0.3">
      <c r="B83" t="s">
        <v>176</v>
      </c>
    </row>
    <row r="84" spans="2:2" x14ac:dyDescent="0.3">
      <c r="B84" t="s">
        <v>177</v>
      </c>
    </row>
    <row r="85" spans="2:2" x14ac:dyDescent="0.3">
      <c r="B85" t="s">
        <v>178</v>
      </c>
    </row>
    <row r="86" spans="2:2" x14ac:dyDescent="0.3">
      <c r="B86" t="s">
        <v>179</v>
      </c>
    </row>
    <row r="87" spans="2:2" x14ac:dyDescent="0.3">
      <c r="B87" t="s">
        <v>180</v>
      </c>
    </row>
    <row r="88" spans="2:2" x14ac:dyDescent="0.3">
      <c r="B88" t="s">
        <v>181</v>
      </c>
    </row>
    <row r="89" spans="2:2" x14ac:dyDescent="0.3">
      <c r="B89" t="s">
        <v>182</v>
      </c>
    </row>
    <row r="95" spans="2:2" x14ac:dyDescent="0.3">
      <c r="B95" s="36" t="s">
        <v>183</v>
      </c>
    </row>
    <row r="96" spans="2:2" x14ac:dyDescent="0.3">
      <c r="B96" s="131" t="s">
        <v>184</v>
      </c>
    </row>
    <row r="98" spans="2:3" x14ac:dyDescent="0.3">
      <c r="B98" t="s">
        <v>185</v>
      </c>
    </row>
    <row r="99" spans="2:3" x14ac:dyDescent="0.3">
      <c r="B99">
        <v>70</v>
      </c>
      <c r="C99" t="s">
        <v>186</v>
      </c>
    </row>
    <row r="100" spans="2:3" x14ac:dyDescent="0.3">
      <c r="B100" s="133">
        <v>20984.5</v>
      </c>
      <c r="C100" t="s">
        <v>187</v>
      </c>
    </row>
    <row r="101" spans="2:3" x14ac:dyDescent="0.3">
      <c r="B101" s="1">
        <f>B100/B99</f>
        <v>299.77857142857141</v>
      </c>
      <c r="C101" t="s">
        <v>188</v>
      </c>
    </row>
    <row r="105" spans="2:3" x14ac:dyDescent="0.3">
      <c r="B105" s="36" t="s">
        <v>189</v>
      </c>
    </row>
    <row r="106" spans="2:3" x14ac:dyDescent="0.3">
      <c r="B106" s="131" t="s">
        <v>190</v>
      </c>
    </row>
  </sheetData>
  <hyperlinks>
    <hyperlink ref="B2" r:id="rId1" xr:uid="{446C3618-9ED7-D141-A8F2-4FE5778C6D29}"/>
    <hyperlink ref="B6" r:id="rId2" xr:uid="{5C319646-F454-FB40-A9ED-3813F0A9A841}"/>
    <hyperlink ref="B30" r:id="rId3" xr:uid="{350F0DB6-1EDE-C046-B296-27A93EF34761}"/>
    <hyperlink ref="B64" r:id="rId4" xr:uid="{28EBB649-2A62-1E46-B0EA-40DD2A007FB4}"/>
    <hyperlink ref="B66" r:id="rId5" xr:uid="{2ABF17F8-F457-5A48-84EB-85536F218377}"/>
    <hyperlink ref="B70" r:id="rId6" xr:uid="{F7BD4E28-C22A-FA4B-8FC1-D6BAFC51F136}"/>
    <hyperlink ref="B96" r:id="rId7" xr:uid="{99260ABC-9AC8-2341-9F08-2E3FE1565E4B}"/>
    <hyperlink ref="B106" r:id="rId8" xr:uid="{08123AD6-14EB-1148-A477-46753A18EFE0}"/>
  </hyperlinks>
  <pageMargins left="0.7" right="0.7" top="0.75" bottom="0.75" header="0.3" footer="0.3"/>
  <drawing r:id="rId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32EAD547D39A448F70DFD1A9451210" ma:contentTypeVersion="" ma:contentTypeDescription="Create a new document." ma:contentTypeScope="" ma:versionID="5a673454ec172ecce642261c96f4a850">
  <xsd:schema xmlns:xsd="http://www.w3.org/2001/XMLSchema" xmlns:xs="http://www.w3.org/2001/XMLSchema" xmlns:p="http://schemas.microsoft.com/office/2006/metadata/properties" xmlns:ns2="fb74af13-32b2-4119-8e02-20c54814feab" xmlns:ns3="21478273-4f81-4aa2-a466-7405cc301cec" targetNamespace="http://schemas.microsoft.com/office/2006/metadata/properties" ma:root="true" ma:fieldsID="a78a582856e6b3ef4a3733230c93741b" ns2:_="" ns3:_="">
    <xsd:import namespace="fb74af13-32b2-4119-8e02-20c54814feab"/>
    <xsd:import namespace="21478273-4f81-4aa2-a466-7405cc301c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4af13-32b2-4119-8e02-20c54814fe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478273-4f81-4aa2-a466-7405cc301cec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3F90B0-0715-4485-B5CD-18C4853EE709}">
  <ds:schemaRefs>
    <ds:schemaRef ds:uri="http://schemas.microsoft.com/office/2006/metadata/properties"/>
    <ds:schemaRef ds:uri="http://www.w3.org/XML/1998/namespace"/>
    <ds:schemaRef ds:uri="fb74af13-32b2-4119-8e02-20c54814feab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21478273-4f81-4aa2-a466-7405cc301ce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1D4F35-42DE-4B14-AF9E-C94B9C7616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74af13-32b2-4119-8e02-20c54814feab"/>
    <ds:schemaRef ds:uri="21478273-4f81-4aa2-a466-7405cc301c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8B39D9-6421-478B-A20C-30600ED30D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 Me</vt:lpstr>
      <vt:lpstr>Total Costs</vt:lpstr>
      <vt:lpstr>Returns</vt:lpstr>
      <vt:lpstr>Public Health Pricing</vt:lpstr>
      <vt:lpstr>Private Health Pricing</vt:lpstr>
      <vt:lpstr>Customers</vt:lpstr>
      <vt:lpstr>Revenue Streams</vt:lpstr>
      <vt:lpstr>Channel Partners</vt:lpstr>
      <vt:lpstr>Misc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Dipa Sharif</dc:creator>
  <cp:lastModifiedBy>Emily Clayton</cp:lastModifiedBy>
  <dcterms:created xsi:type="dcterms:W3CDTF">2019-11-05T13:16:31Z</dcterms:created>
  <dcterms:modified xsi:type="dcterms:W3CDTF">2019-12-02T18:48:16Z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0x010100D932EAD547D39A448F70DFD1A9451210</vt:lpwstr>
  </property>
</Properties>
</file>